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face05a71754cdc" /></Relationships>
</file>

<file path=xl/workbook.xml><?xml version="1.0" encoding="utf-8"?>
<x:workbook xmlns:x="http://schemas.openxmlformats.org/spreadsheetml/2006/main">
  <x:sheets>
    <x:sheet xmlns:r="http://schemas.openxmlformats.org/officeDocument/2006/relationships" name="Bills" sheetId="1" r:id="R7e05f8ed90f14e3c"/>
    <x:sheet xmlns:r="http://schemas.openxmlformats.org/officeDocument/2006/relationships" name="Extensions" sheetId="2" r:id="R563f3ed61fa34324"/>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mm/dd/yyyy"/>
    <x:numFmt numFmtId="201" formatCode="&quot;$&quot;#,##0;(&quot;$&quot;#,##0);&quot;$0&quot;"/>
  </x:numFmts>
  <x:fonts count="8">
    <x:font>
      <x:sz val="11"/>
      <x:name val="Carlito"/>
    </x:font>
    <x:font>
      <x:sz val="10"/>
      <x:color rgb="FF172D3A"/>
      <x:name val="Arial"/>
    </x:font>
    <x:font>
      <x:b/>
      <x:sz val="19"/>
      <x:color rgb="FF173C52"/>
      <x:name val="Arial"/>
    </x:font>
    <x:font>
      <x:b/>
      <x:sz val="10"/>
      <x:color rgb="FF173C52"/>
      <x:name val="Arial"/>
    </x:font>
    <x:font>
      <x:b/>
      <x:sz val="10"/>
      <x:color rgb="FF172D3A"/>
      <x:name val="Arial"/>
    </x:font>
    <x:font>
      <x:b/>
      <x:sz val="10"/>
      <x:color rgb="FFFFFFFF"/>
      <x:name val="Arial"/>
    </x:font>
    <x:font>
      <x:sz val="10"/>
      <x:color rgb="FF156082"/>
      <x:name val="Arial"/>
    </x:font>
    <x:font>
      <x:sz val="9"/>
      <x:color rgb="FF156082"/>
      <x:name val="Arial"/>
    </x:font>
  </x:fonts>
  <x:fills count="5">
    <x:fill>
      <x:patternFill patternType="none"/>
    </x:fill>
    <x:fill>
      <x:patternFill patternType="gray125"/>
    </x:fill>
    <x:fill>
      <x:patternFill patternType="solid">
        <x:fgColor rgb="FFDCEEEB"/>
      </x:patternFill>
    </x:fill>
    <x:fill>
      <x:patternFill patternType="solid">
        <x:fgColor rgb="FF173C52"/>
      </x:patternFill>
    </x:fill>
    <x:fill>
      <x:patternFill patternType="solid">
        <x:fgColor rgb="FFFFF2CC"/>
      </x:patternFill>
    </x:fill>
  </x:fills>
  <x:borders count="1">
    <x:border>
      <x:left/>
      <x:right/>
      <x:top/>
      <x:bottom/>
      <x:diagonal/>
    </x:border>
  </x:borders>
  <x:cellStyleXfs count="1">
    <x:xf numFmtId="0" fontId="0" fillId="0" borderId="0"/>
  </x:cellStyleXfs>
  <x:cellXfs count="26">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1" fillId="2" borderId="0" xfId="0" applyNumberFormat="1" applyFont="1" applyFill="1" applyBorder="1"/>
    <x:xf numFmtId="0" fontId="4" fillId="2" borderId="0" xfId="0" applyNumberFormat="1" applyFont="1" applyFill="1" applyBorder="1"/>
    <x:xf numFmtId="0" fontId="1" fillId="0" borderId="0" xfId="0" applyNumberFormat="1" applyFont="1" applyFill="1" applyBorder="1" applyAlignment="1">
      <x:alignment wrapText="1"/>
    </x:xf>
    <x:xf numFmtId="0" fontId="3" fillId="0" borderId="0" xfId="0" applyNumberFormat="1" applyFont="1" applyFill="1" applyBorder="1" applyAlignment="1">
      <x:alignment wrapText="1"/>
    </x:xf>
    <x:xf numFmtId="0" fontId="1"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5" fillId="3" borderId="0" xfId="0" applyNumberFormat="1" applyFont="1" applyFill="1" applyBorder="1" applyAlignment="1">
      <x:alignment vertical="center" wrapText="1"/>
    </x:xf>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1" fillId="0" borderId="0" xfId="0" applyNumberFormat="1" applyFont="1" applyFill="1" applyBorder="1"/>
    <x:xf numFmtId="200" fontId="1" fillId="0" borderId="0" xfId="0" applyNumberFormat="1" applyFont="1" applyFill="1" applyBorder="1" applyAlignment="1">
      <x:alignment vertical="center"/>
    </x:xf>
    <x:xf numFmtId="0" fontId="1" fillId="0" borderId="0" xfId="0" applyNumberFormat="1" applyFont="1" applyFill="1" applyBorder="1" applyAlignment="1">
      <x:alignment horizontal="center"/>
    </x:xf>
    <x:xf numFmtId="200" fontId="1" fillId="0" borderId="0" xfId="0" applyNumberFormat="1" applyFont="1" applyFill="1" applyBorder="1" applyAlignment="1">
      <x:alignment horizontal="left" vertical="center"/>
    </x:xf>
    <x:xf numFmtId="0" fontId="1" fillId="0" borderId="0" xfId="0" applyNumberFormat="1" applyFont="1" applyFill="1" applyBorder="1" applyAlignment="1">
      <x:alignment horizontal="left" vertical="center"/>
    </x:xf>
    <x:xf numFmtId="0" fontId="1" fillId="0" borderId="0" xfId="0" applyNumberFormat="1" applyFont="1" applyFill="1" applyBorder="1" applyAlignment="1">
      <x:alignment horizontal="center" vertical="center"/>
    </x:xf>
    <x:xf numFmtId="201" fontId="1" fillId="0" borderId="0" xfId="0" applyNumberFormat="1" applyFont="1" applyFill="1" applyBorder="1"/>
    <x:xf numFmtId="201" fontId="4" fillId="2" borderId="0" xfId="0" applyNumberFormat="1" applyFont="1" applyFill="1" applyBorder="1"/>
    <x:xf numFmtId="201" fontId="1" fillId="0" borderId="0" xfId="0" applyNumberFormat="1" applyFont="1" applyFill="1" applyBorder="1" applyAlignment="1">
      <x:alignment vertical="center"/>
    </x:xf>
    <x:xf numFmtId="201" fontId="6" fillId="0" borderId="0" xfId="0" applyNumberFormat="1" applyFont="1" applyFill="1" applyBorder="1" applyAlignment="1">
      <x:alignment vertical="center"/>
    </x:xf>
    <x:xf numFmtId="0" fontId="7"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1a96ae7fa644237" /><Relationship Type="http://schemas.openxmlformats.org/officeDocument/2006/relationships/theme" Target="/xl/theme/theme1.xml" Id="R144264899a454391" /><Relationship Type="http://schemas.openxmlformats.org/officeDocument/2006/relationships/sharedStrings" Target="/xl/sharedStrings.xml" Id="R4d45ee378155480b" /><Relationship Type="http://schemas.openxmlformats.org/officeDocument/2006/relationships/worksheet" Target="/xl/worksheets/sheet1.xml" Id="R7e05f8ed90f14e3c" /><Relationship Type="http://schemas.openxmlformats.org/officeDocument/2006/relationships/worksheet" Target="/xl/worksheets/sheet2.xml" Id="R563f3ed61fa34324" /></Relationships>
</file>

<file path=xl/tables/table1.xml><?xml version="1.0" encoding="utf-8"?>
<x:table xmlns:x="http://schemas.openxmlformats.org/spreadsheetml/2006/main" id="1" name="ExtensionList" displayName="ExtensionList" ref="A7:Y180" headerRowCount="1" totalsRowCount="0" totalsRowShown="0">
  <x:tableColumns count="25">
    <x:tableColumn id="1" name="ID"/>
    <x:tableColumn id="2" name="Bill"/>
    <x:tableColumn id="3" name="Public Act"/>
    <x:tableColumn id="4" name="Signed by Pritzker"/>
    <x:tableColumn id="5" name="Municipality"/>
    <x:tableColumn id="6" name="TIF / redevelopment area"/>
    <x:tableColumn id="7" name="Ordinance date in act"/>
    <x:tableColumn id="8" name="Prior term (years)"/>
    <x:tableColumn id="9" name="New term (years)"/>
    <x:tableColumn id="10" name="Added years"/>
    <x:tableColumn id="11" name="Statutory clause"/>
    <x:tableColumn id="12" name="Baseline period"/>
    <x:tableColumn id="13" name="Annual property-tax increment ($)"/>
    <x:tableColumn id="14" name="Gross extension projection ($)"/>
    <x:tableColumn id="15" name="Tax-bill increase estimate"/>
    <x:tableColumn id="16" name="Notes"/>
    <x:tableColumn id="17" name="Source links →"/>
    <x:tableColumn id="18" name="Signed act"/>
    <x:tableColumn id="19" name="Signing history"/>
    <x:tableColumn id="20" name="Annual TIF reporting"/>
    <x:tableColumn id="21" name="Municipal report index"/>
    <x:tableColumn id="22" name="Financial source"/>
    <x:tableColumn id="23" name="Financial source detail"/>
    <x:tableColumn id="24" name="Name identification source"/>
    <x:tableColumn id="25" name="Financial baseline available (1/0)"/>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3dad1c364844d13" /></Relationships>
</file>

<file path=xl/worksheets/sheet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2" hidden="0" customWidth="1"/>
    <x:col min="2" max="2" width="13" hidden="0" customWidth="1"/>
    <x:col min="3" max="3" width="14" hidden="0" customWidth="1"/>
    <x:col min="4" max="4" width="18" hidden="0" customWidth="1"/>
    <x:col min="5" max="5" width="18" hidden="0" customWidth="1"/>
    <x:col min="6" max="6" width="18" hidden="0" customWidth="1"/>
    <x:col min="7" max="7" width="23" hidden="0" customWidth="1"/>
    <x:col min="8" max="8" width="25" hidden="0" customWidth="1"/>
    <x:col min="9" max="9" width="16" hidden="0" customWidth="1"/>
    <x:col min="10" max="10" width="20" hidden="0" customWidth="1"/>
  </x:cols>
  <x:sheetData>
    <x:row r="1" ht="33" customHeight="1">
      <x:c r="A1" s="2" t="str">
        <x:v>Illinois TIF extensions signed by Gov. Pritzker</x:v>
      </x:c>
      <x:c r="B1" s="1"/>
      <x:c r="C1" s="1"/>
      <x:c r="D1" s="1"/>
      <x:c r="E1" s="1"/>
      <x:c r="F1" s="1"/>
      <x:c r="G1" s="1"/>
      <x:c r="H1" s="1"/>
      <x:c r="I1" s="1"/>
      <x:c r="J1" s="1"/>
      <x:c r="K1" s="1"/>
      <x:c r="L1" s="1"/>
      <x:c r="M1" s="1"/>
      <x:c r="N1" s="1"/>
      <x:c r="O1" s="1"/>
      <x:c r="P1" s="1"/>
      <x:c r="Q1" s="1"/>
      <x:c r="R1" s="1"/>
      <x:c r="S1" s="1"/>
      <x:c r="T1" s="1"/>
      <x:c r="U1" s="1"/>
      <x:c r="V1" s="1"/>
      <x:c r="W1" s="1"/>
      <x:c r="X1" s="1"/>
      <x:c r="Y1" s="1"/>
      <x:c r="Z1" s="1"/>
      <x:c r="AA1" s="1"/>
    </x:row>
    <x:row r="2" ht="25" customHeight="1">
      <x:c r="A2" s="1" t="str">
        <x:v>2019–October 14, 2026 • State extension authorizations, including omnibus and standalone bills</x:v>
      </x:c>
      <x:c r="B2" s="1"/>
      <x:c r="C2" s="1"/>
      <x:c r="D2" s="1"/>
      <x:c r="E2" s="1"/>
      <x:c r="F2" s="1"/>
      <x:c r="G2" s="1"/>
      <x:c r="H2" s="1"/>
      <x:c r="I2" s="1"/>
      <x:c r="J2" s="1"/>
      <x:c r="K2" s="1"/>
      <x:c r="L2" s="1"/>
      <x:c r="M2" s="1"/>
      <x:c r="N2" s="1"/>
      <x:c r="O2" s="1"/>
      <x:c r="P2" s="1"/>
      <x:c r="Q2" s="1"/>
      <x:c r="R2" s="1"/>
      <x:c r="S2" s="1"/>
      <x:c r="T2" s="1"/>
      <x:c r="U2" s="1"/>
      <x:c r="V2" s="1"/>
      <x:c r="W2" s="1"/>
      <x:c r="X2" s="1"/>
      <x:c r="Y2" s="1"/>
      <x:c r="Z2" s="1"/>
      <x:c r="AA2" s="1"/>
    </x:row>
    <x:row r="3" ht="25" customHeight="1">
      <x:c r="A3" s="3" t="str">
        <x:v>Dollar estimates measure gross increment retained over added years. They do not measure a tax-bill increase.</x:v>
      </x:c>
      <x:c r="B3" s="1"/>
      <x:c r="C3" s="1"/>
      <x:c r="D3" s="1"/>
      <x:c r="E3" s="1"/>
      <x:c r="F3" s="1"/>
      <x:c r="G3" s="1"/>
      <x:c r="H3" s="1"/>
      <x:c r="I3" s="1"/>
      <x:c r="J3" s="1"/>
      <x:c r="K3" s="1"/>
      <x:c r="L3" s="1"/>
      <x:c r="M3" s="1"/>
      <x:c r="N3" s="1"/>
      <x:c r="O3" s="1"/>
      <x:c r="P3" s="1"/>
      <x:c r="Q3" s="1"/>
      <x:c r="R3" s="1"/>
      <x:c r="S3" s="1"/>
      <x:c r="T3" s="1"/>
      <x:c r="U3" s="1"/>
      <x:c r="V3" s="1"/>
      <x:c r="W3" s="1"/>
      <x:c r="X3" s="1"/>
      <x:c r="Y3" s="1"/>
      <x:c r="Z3" s="1"/>
      <x:c r="AA3" s="1"/>
    </x:row>
    <x:row r="4" ht="25" customHeight="1">
      <x:c r="A4" s="1" t="str">
        <x:v>169 of 173 rows have financial baselines. Missing amounts remain blank. Totals include provisional matches flagged in Extensions.</x:v>
      </x:c>
      <x:c r="B4" s="1"/>
      <x:c r="C4" s="1"/>
      <x:c r="D4" s="1"/>
      <x:c r="E4" s="1"/>
      <x:c r="F4" s="1"/>
      <x:c r="G4" s="1"/>
      <x:c r="H4" s="1"/>
      <x:c r="I4" s="1"/>
      <x:c r="J4" s="1"/>
      <x:c r="K4" s="1"/>
      <x:c r="L4" s="1"/>
      <x:c r="M4" s="1"/>
      <x:c r="N4" s="1"/>
      <x:c r="O4" s="1"/>
      <x:c r="P4" s="1"/>
      <x:c r="Q4" s="1"/>
      <x:c r="R4" s="1"/>
      <x:c r="S4" s="1"/>
      <x:c r="T4" s="1"/>
      <x:c r="U4" s="1"/>
      <x:c r="V4" s="1"/>
      <x:c r="W4" s="1"/>
      <x:c r="X4" s="1"/>
      <x:c r="Y4" s="1"/>
      <x:c r="Z4" s="1"/>
      <x:c r="AA4" s="1"/>
    </x:row>
    <x:row r="5" ht="25" customHeight="1">
      <x:c r="A5" s="1" t="str">
        <x:v>Projection: reported annual property-tax increment × added years, at a flat annual amount; no growth, discounting, or surplus adjustment.</x:v>
      </x:c>
      <x:c r="B5" s="1"/>
      <x:c r="C5" s="1"/>
      <x:c r="D5" s="1"/>
      <x:c r="E5" s="1"/>
      <x:c r="F5" s="1"/>
      <x:c r="G5" s="1"/>
      <x:c r="H5" s="1"/>
      <x:c r="I5" s="1"/>
      <x:c r="J5" s="1"/>
      <x:c r="K5" s="1"/>
      <x:c r="L5" s="1"/>
      <x:c r="M5" s="1"/>
      <x:c r="N5" s="1"/>
      <x:c r="O5" s="1"/>
      <x:c r="P5" s="1"/>
      <x:c r="Q5" s="1"/>
      <x:c r="R5" s="1"/>
      <x:c r="S5" s="1"/>
      <x:c r="T5" s="1"/>
      <x:c r="U5" s="1"/>
      <x:c r="V5" s="1"/>
      <x:c r="W5" s="1"/>
      <x:c r="X5" s="1"/>
      <x:c r="Y5" s="1"/>
      <x:c r="Z5" s="1"/>
      <x:c r="AA5" s="1"/>
    </x:row>
    <x:row r="6">
      <x:c r="A6" s="1"/>
      <x:c r="B6" s="1"/>
      <x:c r="C6" s="1"/>
      <x:c r="D6" s="1"/>
      <x:c r="E6" s="1"/>
      <x:c r="F6" s="1"/>
      <x:c r="G6" s="1"/>
      <x:c r="H6" s="1"/>
      <x:c r="I6" s="1"/>
      <x:c r="J6" s="1"/>
      <x:c r="K6" s="1"/>
      <x:c r="L6" s="1"/>
      <x:c r="M6" s="1"/>
      <x:c r="N6" s="1"/>
      <x:c r="O6" s="1"/>
      <x:c r="P6" s="1"/>
      <x:c r="Q6" s="1"/>
      <x:c r="R6" s="1"/>
      <x:c r="S6" s="1"/>
      <x:c r="T6" s="1"/>
      <x:c r="U6" s="1"/>
      <x:c r="V6" s="1"/>
      <x:c r="W6" s="1"/>
      <x:c r="X6" s="1"/>
      <x:c r="Y6" s="1"/>
      <x:c r="Z6" s="1"/>
      <x:c r="AA6" s="1"/>
    </x:row>
    <x:row r="7" ht="52" customHeight="1">
      <x:c r="A7" s="11" t="str">
        <x:v>Signed year</x:v>
      </x:c>
      <x:c r="B7" s="11" t="str">
        <x:v>Bill</x:v>
      </x:c>
      <x:c r="C7" s="11" t="str">
        <x:v>Public Act</x:v>
      </x:c>
      <x:c r="D7" s="11" t="str">
        <x:v>Signed by Pritzker</x:v>
      </x:c>
      <x:c r="E7" s="11" t="str">
        <x:v>District authorizations</x:v>
      </x:c>
      <x:c r="F7" s="11" t="str">
        <x:v>Rows with $ estimate</x:v>
      </x:c>
      <x:c r="G7" s="11" t="str">
        <x:v>Annual increment baselines ($)</x:v>
      </x:c>
      <x:c r="H7" s="11" t="str">
        <x:v>Gross extension projection ($)</x:v>
      </x:c>
      <x:c r="I7" s="11" t="str">
        <x:v>Added years</x:v>
      </x:c>
      <x:c r="J7" s="11" t="str">
        <x:v>Scope</x:v>
      </x:c>
      <x:c r="K7" s="1"/>
      <x:c r="L7" s="1"/>
      <x:c r="M7" s="1"/>
      <x:c r="N7" s="1"/>
      <x:c r="O7" s="1"/>
      <x:c r="P7" s="1"/>
      <x:c r="Q7" s="1"/>
      <x:c r="R7" s="1"/>
      <x:c r="S7" s="1"/>
      <x:c r="T7" s="1"/>
      <x:c r="U7" s="1"/>
      <x:c r="V7" s="1"/>
      <x:c r="W7" s="1"/>
      <x:c r="X7" s="1"/>
      <x:c r="Y7" s="1"/>
      <x:c r="Z7" s="1"/>
      <x:c r="AA7" s="1"/>
    </x:row>
    <x:row r="8" ht="29" customHeight="1">
      <x:c r="A8" s="16" t="n">
        <x:v>2019</x:v>
      </x:c>
      <x:c r="B8" s="1" t="str">
        <x:v>HB 2931</x:v>
      </x:c>
      <x:c r="C8" s="1" t="str">
        <x:v>101-0274</x:v>
      </x:c>
      <x:c r="D8" s="14" t="d">
        <x:v>2019-08-09T00:00:00.000Z</x:v>
      </x:c>
      <x:c r="E8" s="1" t="n">
        <x:f>COUNTIF(Extensions!$C$8:$C$180,C8)</x:f>
        <x:v>7</x:v>
      </x:c>
      <x:c r="F8" s="1" t="n">
        <x:f>SUMIF(Extensions!$C$8:$C$180,C8,Extensions!$Y$8:$Y$180)</x:f>
        <x:v>7</x:v>
      </x:c>
      <x:c r="G8" s="20" t="n">
        <x:f>SUMIF(Extensions!$C$8:$C$180,C8,Extensions!$M$8:$M$180)</x:f>
        <x:v>9701478.78</x:v>
      </x:c>
      <x:c r="H8" s="20" t="n">
        <x:f>SUMIF(Extensions!$C$8:$C$180,C8,Extensions!$N$8:$N$180)</x:f>
        <x:v>116417745.36</x:v>
      </x:c>
      <x:c r="I8" s="1" t="n">
        <x:v>12</x:v>
      </x:c>
      <x:c r="J8" s="1" t="str">
        <x:v>Multi-district</x:v>
      </x:c>
      <x:c r="K8" s="1"/>
      <x:c r="L8" s="1"/>
      <x:c r="M8" s="1"/>
      <x:c r="N8" s="1"/>
      <x:c r="O8" s="1"/>
      <x:c r="P8" s="1"/>
      <x:c r="Q8" s="1"/>
      <x:c r="R8" s="1"/>
      <x:c r="S8" s="1"/>
      <x:c r="T8" s="1"/>
      <x:c r="U8" s="1"/>
      <x:c r="V8" s="1"/>
      <x:c r="W8" s="1"/>
      <x:c r="X8" s="1"/>
      <x:c r="Y8" s="1"/>
      <x:c r="Z8" s="1"/>
      <x:c r="AA8" s="1"/>
    </x:row>
    <x:row r="9" ht="29" customHeight="1">
      <x:c r="A9" s="16" t="n">
        <x:v>2019</x:v>
      </x:c>
      <x:c r="B9" s="1" t="str">
        <x:v>SB 1042</x:v>
      </x:c>
      <x:c r="C9" s="1" t="str">
        <x:v>101-0618</x:v>
      </x:c>
      <x:c r="D9" s="14" t="d">
        <x:v>2019-12-20T00:00:00.000Z</x:v>
      </x:c>
      <x:c r="E9" s="1" t="n">
        <x:f>COUNTIF(Extensions!$C$8:$C$180,C9)</x:f>
        <x:v>1</x:v>
      </x:c>
      <x:c r="F9" s="1" t="n">
        <x:f>SUMIF(Extensions!$C$8:$C$180,C9,Extensions!$Y$8:$Y$180)</x:f>
        <x:v>1</x:v>
      </x:c>
      <x:c r="G9" s="20" t="n">
        <x:f>SUMIF(Extensions!$C$8:$C$180,C9,Extensions!$M$8:$M$180)</x:f>
        <x:v>73738</x:v>
      </x:c>
      <x:c r="H9" s="20" t="n">
        <x:f>SUMIF(Extensions!$C$8:$C$180,C9,Extensions!$N$8:$N$180)</x:f>
        <x:v>884856</x:v>
      </x:c>
      <x:c r="I9" s="1" t="n">
        <x:v>12</x:v>
      </x:c>
      <x:c r="J9" s="1" t="str">
        <x:v>Standalone</x:v>
      </x:c>
      <x:c r="K9" s="1"/>
      <x:c r="L9" s="1"/>
      <x:c r="M9" s="1"/>
      <x:c r="N9" s="1"/>
      <x:c r="O9" s="1"/>
      <x:c r="P9" s="1"/>
      <x:c r="Q9" s="1"/>
      <x:c r="R9" s="1"/>
      <x:c r="S9" s="1"/>
      <x:c r="T9" s="1"/>
      <x:c r="U9" s="1"/>
      <x:c r="V9" s="1"/>
      <x:c r="W9" s="1"/>
      <x:c r="X9" s="1"/>
      <x:c r="Y9" s="1"/>
      <x:c r="Z9" s="1"/>
      <x:c r="AA9" s="1"/>
    </x:row>
    <x:row r="10" ht="29" customHeight="1">
      <x:c r="A10" s="16" t="n">
        <x:v>2020</x:v>
      </x:c>
      <x:c r="B10" s="1" t="str">
        <x:v>SB 2052</x:v>
      </x:c>
      <x:c r="C10" s="1" t="str">
        <x:v>101-0647</x:v>
      </x:c>
      <x:c r="D10" s="14" t="d">
        <x:v>2020-06-26T00:00:00.000Z</x:v>
      </x:c>
      <x:c r="E10" s="1" t="n">
        <x:f>COUNTIF(Extensions!$C$8:$C$180,C10)</x:f>
        <x:v>11</x:v>
      </x:c>
      <x:c r="F10" s="1" t="n">
        <x:f>SUMIF(Extensions!$C$8:$C$180,C10,Extensions!$Y$8:$Y$180)</x:f>
        <x:v>11</x:v>
      </x:c>
      <x:c r="G10" s="20" t="n">
        <x:f>SUMIF(Extensions!$C$8:$C$180,C10,Extensions!$M$8:$M$180)</x:f>
        <x:v>60918082.96</x:v>
      </x:c>
      <x:c r="H10" s="20" t="n">
        <x:f>SUMIF(Extensions!$C$8:$C$180,C10,Extensions!$N$8:$N$180)</x:f>
        <x:v>731016995.52</x:v>
      </x:c>
      <x:c r="I10" s="1" t="n">
        <x:v>12</x:v>
      </x:c>
      <x:c r="J10" s="1" t="str">
        <x:v>Multi-district</x:v>
      </x:c>
      <x:c r="K10" s="1"/>
      <x:c r="L10" s="1"/>
      <x:c r="M10" s="1"/>
      <x:c r="N10" s="1"/>
      <x:c r="O10" s="1"/>
      <x:c r="P10" s="1"/>
      <x:c r="Q10" s="1"/>
      <x:c r="R10" s="1"/>
      <x:c r="S10" s="1"/>
      <x:c r="T10" s="1"/>
      <x:c r="U10" s="1"/>
      <x:c r="V10" s="1"/>
      <x:c r="W10" s="1"/>
      <x:c r="X10" s="1"/>
      <x:c r="Y10" s="1"/>
      <x:c r="Z10" s="1"/>
      <x:c r="AA10" s="1"/>
    </x:row>
    <x:row r="11" ht="29" customHeight="1">
      <x:c r="A11" s="16" t="n">
        <x:v>2021</x:v>
      </x:c>
      <x:c r="B11" s="1" t="str">
        <x:v>HB 570</x:v>
      </x:c>
      <x:c r="C11" s="1" t="str">
        <x:v>101-0662</x:v>
      </x:c>
      <x:c r="D11" s="14" t="d">
        <x:v>2021-04-02T00:00:00.000Z</x:v>
      </x:c>
      <x:c r="E11" s="1" t="n">
        <x:f>COUNTIF(Extensions!$C$8:$C$180,C11)</x:f>
        <x:v>4</x:v>
      </x:c>
      <x:c r="F11" s="1" t="n">
        <x:f>SUMIF(Extensions!$C$8:$C$180,C11,Extensions!$Y$8:$Y$180)</x:f>
        <x:v>3</x:v>
      </x:c>
      <x:c r="G11" s="20" t="n">
        <x:f>SUMIF(Extensions!$C$8:$C$180,C11,Extensions!$M$8:$M$180)</x:f>
        <x:v>2122247</x:v>
      </x:c>
      <x:c r="H11" s="20" t="n">
        <x:f>SUMIF(Extensions!$C$8:$C$180,C11,Extensions!$N$8:$N$180)</x:f>
        <x:v>25466964</x:v>
      </x:c>
      <x:c r="I11" s="1" t="n">
        <x:v>12</x:v>
      </x:c>
      <x:c r="J11" s="1" t="str">
        <x:v>Multi-district</x:v>
      </x:c>
      <x:c r="K11" s="1"/>
      <x:c r="L11" s="1"/>
      <x:c r="M11" s="1"/>
      <x:c r="N11" s="1"/>
      <x:c r="O11" s="1"/>
      <x:c r="P11" s="1"/>
      <x:c r="Q11" s="1"/>
      <x:c r="R11" s="1"/>
      <x:c r="S11" s="1"/>
      <x:c r="T11" s="1"/>
      <x:c r="U11" s="1"/>
      <x:c r="V11" s="1"/>
      <x:c r="W11" s="1"/>
      <x:c r="X11" s="1"/>
      <x:c r="Y11" s="1"/>
      <x:c r="Z11" s="1"/>
      <x:c r="AA11" s="1"/>
    </x:row>
    <x:row r="12" ht="29" customHeight="1">
      <x:c r="A12" s="16" t="n">
        <x:v>2021</x:v>
      </x:c>
      <x:c r="B12" s="1" t="str">
        <x:v>HB 227</x:v>
      </x:c>
      <x:c r="C12" s="1" t="str">
        <x:v>102-0117</x:v>
      </x:c>
      <x:c r="D12" s="14" t="d">
        <x:v>2021-07-23T00:00:00.000Z</x:v>
      </x:c>
      <x:c r="E12" s="1" t="n">
        <x:f>COUNTIF(Extensions!$C$8:$C$180,C12)</x:f>
        <x:v>1</x:v>
      </x:c>
      <x:c r="F12" s="1" t="n">
        <x:f>SUMIF(Extensions!$C$8:$C$180,C12,Extensions!$Y$8:$Y$180)</x:f>
        <x:v>1</x:v>
      </x:c>
      <x:c r="G12" s="20" t="n">
        <x:f>SUMIF(Extensions!$C$8:$C$180,C12,Extensions!$M$8:$M$180)</x:f>
        <x:v>522013</x:v>
      </x:c>
      <x:c r="H12" s="20" t="n">
        <x:f>SUMIF(Extensions!$C$8:$C$180,C12,Extensions!$N$8:$N$180)</x:f>
        <x:v>6264156</x:v>
      </x:c>
      <x:c r="I12" s="1" t="n">
        <x:v>12</x:v>
      </x:c>
      <x:c r="J12" s="1" t="str">
        <x:v>Standalone</x:v>
      </x:c>
      <x:c r="K12" s="1"/>
      <x:c r="L12" s="1"/>
      <x:c r="M12" s="1"/>
      <x:c r="N12" s="1"/>
      <x:c r="O12" s="1"/>
      <x:c r="P12" s="1"/>
      <x:c r="Q12" s="1"/>
      <x:c r="R12" s="1"/>
      <x:c r="S12" s="1"/>
      <x:c r="T12" s="1"/>
      <x:c r="U12" s="1"/>
      <x:c r="V12" s="1"/>
      <x:c r="W12" s="1"/>
      <x:c r="X12" s="1"/>
      <x:c r="Y12" s="1"/>
      <x:c r="Z12" s="1"/>
      <x:c r="AA12" s="1"/>
    </x:row>
    <x:row r="13" ht="29" customHeight="1">
      <x:c r="A13" s="16" t="n">
        <x:v>2021</x:v>
      </x:c>
      <x:c r="B13" s="1" t="str">
        <x:v>HB 2061</x:v>
      </x:c>
      <x:c r="C13" s="1" t="str">
        <x:v>102-0424</x:v>
      </x:c>
      <x:c r="D13" s="14" t="d">
        <x:v>2021-08-20T00:00:00.000Z</x:v>
      </x:c>
      <x:c r="E13" s="1" t="n">
        <x:f>COUNTIF(Extensions!$C$8:$C$180,C13)</x:f>
        <x:v>2</x:v>
      </x:c>
      <x:c r="F13" s="1" t="n">
        <x:f>SUMIF(Extensions!$C$8:$C$180,C13,Extensions!$Y$8:$Y$180)</x:f>
        <x:v>2</x:v>
      </x:c>
      <x:c r="G13" s="20" t="n">
        <x:f>SUMIF(Extensions!$C$8:$C$180,C13,Extensions!$M$8:$M$180)</x:f>
        <x:v>299257</x:v>
      </x:c>
      <x:c r="H13" s="20" t="n">
        <x:f>SUMIF(Extensions!$C$8:$C$180,C13,Extensions!$N$8:$N$180)</x:f>
        <x:v>3591084</x:v>
      </x:c>
      <x:c r="I13" s="1" t="n">
        <x:v>12</x:v>
      </x:c>
      <x:c r="J13" s="1" t="str">
        <x:v>Multi-district</x:v>
      </x:c>
      <x:c r="K13" s="1"/>
      <x:c r="L13" s="1"/>
      <x:c r="M13" s="1"/>
      <x:c r="N13" s="1"/>
      <x:c r="O13" s="1"/>
      <x:c r="P13" s="1"/>
      <x:c r="Q13" s="1"/>
      <x:c r="R13" s="1"/>
      <x:c r="S13" s="1"/>
      <x:c r="T13" s="1"/>
      <x:c r="U13" s="1"/>
      <x:c r="V13" s="1"/>
      <x:c r="W13" s="1"/>
      <x:c r="X13" s="1"/>
      <x:c r="Y13" s="1"/>
      <x:c r="Z13" s="1"/>
      <x:c r="AA13" s="1"/>
    </x:row>
    <x:row r="14" ht="29" customHeight="1">
      <x:c r="A14" s="16" t="n">
        <x:v>2021</x:v>
      </x:c>
      <x:c r="B14" s="1" t="str">
        <x:v>HB 2365</x:v>
      </x:c>
      <x:c r="C14" s="1" t="str">
        <x:v>102-0425</x:v>
      </x:c>
      <x:c r="D14" s="14" t="d">
        <x:v>2021-08-20T00:00:00.000Z</x:v>
      </x:c>
      <x:c r="E14" s="1" t="n">
        <x:f>COUNTIF(Extensions!$C$8:$C$180,C14)</x:f>
        <x:v>1</x:v>
      </x:c>
      <x:c r="F14" s="1" t="n">
        <x:f>SUMIF(Extensions!$C$8:$C$180,C14,Extensions!$Y$8:$Y$180)</x:f>
        <x:v>1</x:v>
      </x:c>
      <x:c r="G14" s="20" t="n">
        <x:f>SUMIF(Extensions!$C$8:$C$180,C14,Extensions!$M$8:$M$180)</x:f>
        <x:v>93053</x:v>
      </x:c>
      <x:c r="H14" s="20" t="n">
        <x:f>SUMIF(Extensions!$C$8:$C$180,C14,Extensions!$N$8:$N$180)</x:f>
        <x:v>1116636</x:v>
      </x:c>
      <x:c r="I14" s="1" t="n">
        <x:v>12</x:v>
      </x:c>
      <x:c r="J14" s="1" t="str">
        <x:v>Standalone</x:v>
      </x:c>
      <x:c r="K14" s="1"/>
      <x:c r="L14" s="1"/>
      <x:c r="M14" s="1"/>
      <x:c r="N14" s="1"/>
      <x:c r="O14" s="1"/>
      <x:c r="P14" s="1"/>
      <x:c r="Q14" s="1"/>
      <x:c r="R14" s="1"/>
      <x:c r="S14" s="1"/>
      <x:c r="T14" s="1"/>
      <x:c r="U14" s="1"/>
      <x:c r="V14" s="1"/>
      <x:c r="W14" s="1"/>
      <x:c r="X14" s="1"/>
      <x:c r="Y14" s="1"/>
      <x:c r="Z14" s="1"/>
      <x:c r="AA14" s="1"/>
    </x:row>
    <x:row r="15" ht="29" customHeight="1">
      <x:c r="A15" s="16" t="n">
        <x:v>2021</x:v>
      </x:c>
      <x:c r="B15" s="1" t="str">
        <x:v>HB 2826</x:v>
      </x:c>
      <x:c r="C15" s="1" t="str">
        <x:v>102-0446</x:v>
      </x:c>
      <x:c r="D15" s="14" t="d">
        <x:v>2021-08-20T00:00:00.000Z</x:v>
      </x:c>
      <x:c r="E15" s="1" t="n">
        <x:f>COUNTIF(Extensions!$C$8:$C$180,C15)</x:f>
        <x:v>1</x:v>
      </x:c>
      <x:c r="F15" s="1" t="n">
        <x:f>SUMIF(Extensions!$C$8:$C$180,C15,Extensions!$Y$8:$Y$180)</x:f>
        <x:v>1</x:v>
      </x:c>
      <x:c r="G15" s="20" t="n">
        <x:f>SUMIF(Extensions!$C$8:$C$180,C15,Extensions!$M$8:$M$180)</x:f>
        <x:v>141965</x:v>
      </x:c>
      <x:c r="H15" s="20" t="n">
        <x:f>SUMIF(Extensions!$C$8:$C$180,C15,Extensions!$N$8:$N$180)</x:f>
        <x:v>1703580</x:v>
      </x:c>
      <x:c r="I15" s="1" t="n">
        <x:v>12</x:v>
      </x:c>
      <x:c r="J15" s="1" t="str">
        <x:v>Standalone</x:v>
      </x:c>
      <x:c r="K15" s="1"/>
      <x:c r="L15" s="1"/>
      <x:c r="M15" s="1"/>
      <x:c r="N15" s="1"/>
      <x:c r="O15" s="1"/>
      <x:c r="P15" s="1"/>
      <x:c r="Q15" s="1"/>
      <x:c r="R15" s="1"/>
      <x:c r="S15" s="1"/>
      <x:c r="T15" s="1"/>
      <x:c r="U15" s="1"/>
      <x:c r="V15" s="1"/>
      <x:c r="W15" s="1"/>
      <x:c r="X15" s="1"/>
      <x:c r="Y15" s="1"/>
      <x:c r="Z15" s="1"/>
      <x:c r="AA15" s="1"/>
    </x:row>
    <x:row r="16" ht="29" customHeight="1">
      <x:c r="A16" s="16" t="n">
        <x:v>2021</x:v>
      </x:c>
      <x:c r="B16" s="1" t="str">
        <x:v>HB 3313</x:v>
      </x:c>
      <x:c r="C16" s="1" t="str">
        <x:v>102-0473</x:v>
      </x:c>
      <x:c r="D16" s="14" t="d">
        <x:v>2021-08-20T00:00:00.000Z</x:v>
      </x:c>
      <x:c r="E16" s="1" t="n">
        <x:f>COUNTIF(Extensions!$C$8:$C$180,C16)</x:f>
        <x:v>1</x:v>
      </x:c>
      <x:c r="F16" s="1" t="n">
        <x:f>SUMIF(Extensions!$C$8:$C$180,C16,Extensions!$Y$8:$Y$180)</x:f>
        <x:v>1</x:v>
      </x:c>
      <x:c r="G16" s="20" t="n">
        <x:f>SUMIF(Extensions!$C$8:$C$180,C16,Extensions!$M$8:$M$180)</x:f>
        <x:v>6637293</x:v>
      </x:c>
      <x:c r="H16" s="20" t="n">
        <x:f>SUMIF(Extensions!$C$8:$C$180,C16,Extensions!$N$8:$N$180)</x:f>
        <x:v>79647516</x:v>
      </x:c>
      <x:c r="I16" s="1" t="n">
        <x:v>12</x:v>
      </x:c>
      <x:c r="J16" s="1" t="str">
        <x:v>Standalone</x:v>
      </x:c>
      <x:c r="K16" s="1"/>
      <x:c r="L16" s="1"/>
      <x:c r="M16" s="1"/>
      <x:c r="N16" s="1"/>
      <x:c r="O16" s="1"/>
      <x:c r="P16" s="1"/>
      <x:c r="Q16" s="1"/>
      <x:c r="R16" s="1"/>
      <x:c r="S16" s="1"/>
      <x:c r="T16" s="1"/>
      <x:c r="U16" s="1"/>
      <x:c r="V16" s="1"/>
      <x:c r="W16" s="1"/>
      <x:c r="X16" s="1"/>
      <x:c r="Y16" s="1"/>
      <x:c r="Z16" s="1"/>
      <x:c r="AA16" s="1"/>
    </x:row>
    <x:row r="17" ht="29" customHeight="1">
      <x:c r="A17" s="16" t="n">
        <x:v>2021</x:v>
      </x:c>
      <x:c r="B17" s="1" t="str">
        <x:v>SB 1822</x:v>
      </x:c>
      <x:c r="C17" s="1" t="str">
        <x:v>102-0627</x:v>
      </x:c>
      <x:c r="D17" s="14" t="d">
        <x:v>2021-08-27T00:00:00.000Z</x:v>
      </x:c>
      <x:c r="E17" s="1" t="n">
        <x:f>COUNTIF(Extensions!$C$8:$C$180,C17)</x:f>
        <x:v>25</x:v>
      </x:c>
      <x:c r="F17" s="1" t="n">
        <x:f>SUMIF(Extensions!$C$8:$C$180,C17,Extensions!$Y$8:$Y$180)</x:f>
        <x:v>22</x:v>
      </x:c>
      <x:c r="G17" s="20" t="n">
        <x:f>SUMIF(Extensions!$C$8:$C$180,C17,Extensions!$M$8:$M$180)</x:f>
        <x:v>68769726.01</x:v>
      </x:c>
      <x:c r="H17" s="20" t="n">
        <x:f>SUMIF(Extensions!$C$8:$C$180,C17,Extensions!$N$8:$N$180)</x:f>
        <x:v>825236712.1199999</x:v>
      </x:c>
      <x:c r="I17" s="1" t="n">
        <x:v>12</x:v>
      </x:c>
      <x:c r="J17" s="1" t="str">
        <x:v>Multi-district</x:v>
      </x:c>
      <x:c r="K17" s="1"/>
      <x:c r="L17" s="1"/>
      <x:c r="M17" s="1"/>
      <x:c r="N17" s="1"/>
      <x:c r="O17" s="1"/>
      <x:c r="P17" s="1"/>
      <x:c r="Q17" s="1"/>
      <x:c r="R17" s="1"/>
      <x:c r="S17" s="1"/>
      <x:c r="T17" s="1"/>
      <x:c r="U17" s="1"/>
      <x:c r="V17" s="1"/>
      <x:c r="W17" s="1"/>
      <x:c r="X17" s="1"/>
      <x:c r="Y17" s="1"/>
      <x:c r="Z17" s="1"/>
      <x:c r="AA17" s="1"/>
    </x:row>
    <x:row r="18" ht="29" customHeight="1">
      <x:c r="A18" s="16" t="n">
        <x:v>2021</x:v>
      </x:c>
      <x:c r="B18" s="1" t="str">
        <x:v>SB 1139</x:v>
      </x:c>
      <x:c r="C18" s="1" t="str">
        <x:v>102-0675</x:v>
      </x:c>
      <x:c r="D18" s="14" t="d">
        <x:v>2021-11-30T00:00:00.000Z</x:v>
      </x:c>
      <x:c r="E18" s="1" t="n">
        <x:f>COUNTIF(Extensions!$C$8:$C$180,C18)</x:f>
        <x:v>10</x:v>
      </x:c>
      <x:c r="F18" s="1" t="n">
        <x:f>SUMIF(Extensions!$C$8:$C$180,C18,Extensions!$Y$8:$Y$180)</x:f>
        <x:v>10</x:v>
      </x:c>
      <x:c r="G18" s="20" t="n">
        <x:f>SUMIF(Extensions!$C$8:$C$180,C18,Extensions!$M$8:$M$180)</x:f>
        <x:v>278726995.93</x:v>
      </x:c>
      <x:c r="H18" s="20" t="n">
        <x:f>SUMIF(Extensions!$C$8:$C$180,C18,Extensions!$N$8:$N$180)</x:f>
        <x:v>3344723951.16</x:v>
      </x:c>
      <x:c r="I18" s="1" t="n">
        <x:v>12</x:v>
      </x:c>
      <x:c r="J18" s="1" t="str">
        <x:v>Multi-district</x:v>
      </x:c>
      <x:c r="K18" s="1"/>
      <x:c r="L18" s="1"/>
      <x:c r="M18" s="1"/>
      <x:c r="N18" s="1"/>
      <x:c r="O18" s="1"/>
      <x:c r="P18" s="1"/>
      <x:c r="Q18" s="1"/>
      <x:c r="R18" s="1"/>
      <x:c r="S18" s="1"/>
      <x:c r="T18" s="1"/>
      <x:c r="U18" s="1"/>
      <x:c r="V18" s="1"/>
      <x:c r="W18" s="1"/>
      <x:c r="X18" s="1"/>
      <x:c r="Y18" s="1"/>
      <x:c r="Z18" s="1"/>
      <x:c r="AA18" s="1"/>
    </x:row>
    <x:row r="19" ht="29" customHeight="1">
      <x:c r="A19" s="16" t="n">
        <x:v>2022</x:v>
      </x:c>
      <x:c r="B19" s="1" t="str">
        <x:v>SB 2990</x:v>
      </x:c>
      <x:c r="C19" s="1" t="str">
        <x:v>102-0745</x:v>
      </x:c>
      <x:c r="D19" s="14" t="d">
        <x:v>2022-05-06T00:00:00.000Z</x:v>
      </x:c>
      <x:c r="E19" s="1" t="n">
        <x:f>COUNTIF(Extensions!$C$8:$C$180,C19)</x:f>
        <x:v>1</x:v>
      </x:c>
      <x:c r="F19" s="1" t="n">
        <x:f>SUMIF(Extensions!$C$8:$C$180,C19,Extensions!$Y$8:$Y$180)</x:f>
        <x:v>1</x:v>
      </x:c>
      <x:c r="G19" s="20" t="n">
        <x:f>SUMIF(Extensions!$C$8:$C$180,C19,Extensions!$M$8:$M$180)</x:f>
        <x:v>8744606.53</x:v>
      </x:c>
      <x:c r="H19" s="20" t="n">
        <x:f>SUMIF(Extensions!$C$8:$C$180,C19,Extensions!$N$8:$N$180)</x:f>
        <x:v>104935278.35999998</x:v>
      </x:c>
      <x:c r="I19" s="1" t="n">
        <x:v>12</x:v>
      </x:c>
      <x:c r="J19" s="1" t="str">
        <x:v>Standalone</x:v>
      </x:c>
      <x:c r="K19" s="1"/>
      <x:c r="L19" s="1"/>
      <x:c r="M19" s="1"/>
      <x:c r="N19" s="1"/>
      <x:c r="O19" s="1"/>
      <x:c r="P19" s="1"/>
      <x:c r="Q19" s="1"/>
      <x:c r="R19" s="1"/>
      <x:c r="S19" s="1"/>
      <x:c r="T19" s="1"/>
      <x:c r="U19" s="1"/>
      <x:c r="V19" s="1"/>
      <x:c r="W19" s="1"/>
      <x:c r="X19" s="1"/>
      <x:c r="Y19" s="1"/>
      <x:c r="Z19" s="1"/>
      <x:c r="AA19" s="1"/>
    </x:row>
    <x:row r="20" ht="29" customHeight="1">
      <x:c r="A20" s="16" t="n">
        <x:v>2022</x:v>
      </x:c>
      <x:c r="B20" s="1" t="str">
        <x:v>SB 658</x:v>
      </x:c>
      <x:c r="C20" s="1" t="str">
        <x:v>102-0818</x:v>
      </x:c>
      <x:c r="D20" s="14" t="d">
        <x:v>2022-05-13T00:00:00.000Z</x:v>
      </x:c>
      <x:c r="E20" s="1" t="n">
        <x:f>COUNTIF(Extensions!$C$8:$C$180,C20)</x:f>
        <x:v>15</x:v>
      </x:c>
      <x:c r="F20" s="1" t="n">
        <x:f>SUMIF(Extensions!$C$8:$C$180,C20,Extensions!$Y$8:$Y$180)</x:f>
        <x:v>15</x:v>
      </x:c>
      <x:c r="G20" s="20" t="n">
        <x:f>SUMIF(Extensions!$C$8:$C$180,C20,Extensions!$M$8:$M$180)</x:f>
        <x:v>59251754.99999999</x:v>
      </x:c>
      <x:c r="H20" s="20" t="n">
        <x:f>SUMIF(Extensions!$C$8:$C$180,C20,Extensions!$N$8:$N$180)</x:f>
        <x:v>711021060</x:v>
      </x:c>
      <x:c r="I20" s="1" t="n">
        <x:v>12</x:v>
      </x:c>
      <x:c r="J20" s="1" t="str">
        <x:v>Multi-district</x:v>
      </x:c>
      <x:c r="K20" s="1"/>
      <x:c r="L20" s="1"/>
      <x:c r="M20" s="1"/>
      <x:c r="N20" s="1"/>
      <x:c r="O20" s="1"/>
      <x:c r="P20" s="1"/>
      <x:c r="Q20" s="1"/>
      <x:c r="R20" s="1"/>
      <x:c r="S20" s="1"/>
      <x:c r="T20" s="1"/>
      <x:c r="U20" s="1"/>
      <x:c r="V20" s="1"/>
      <x:c r="W20" s="1"/>
      <x:c r="X20" s="1"/>
      <x:c r="Y20" s="1"/>
      <x:c r="Z20" s="1"/>
      <x:c r="AA20" s="1"/>
    </x:row>
    <x:row r="21" ht="29" customHeight="1">
      <x:c r="A21" s="16" t="n">
        <x:v>2022</x:v>
      </x:c>
      <x:c r="B21" s="1" t="str">
        <x:v>SB 1595</x:v>
      </x:c>
      <x:c r="C21" s="1" t="str">
        <x:v>102-1113</x:v>
      </x:c>
      <x:c r="D21" s="14" t="d">
        <x:v>2022-12-21T00:00:00.000Z</x:v>
      </x:c>
      <x:c r="E21" s="1" t="n">
        <x:f>COUNTIF(Extensions!$C$8:$C$180,C21)</x:f>
        <x:v>12</x:v>
      </x:c>
      <x:c r="F21" s="1" t="n">
        <x:f>SUMIF(Extensions!$C$8:$C$180,C21,Extensions!$Y$8:$Y$180)</x:f>
        <x:v>12</x:v>
      </x:c>
      <x:c r="G21" s="20" t="n">
        <x:f>SUMIF(Extensions!$C$8:$C$180,C21,Extensions!$M$8:$M$180)</x:f>
        <x:v>92685659.56000002</x:v>
      </x:c>
      <x:c r="H21" s="20" t="n">
        <x:f>SUMIF(Extensions!$C$8:$C$180,C21,Extensions!$N$8:$N$180)</x:f>
        <x:v>1112227914.7200003</x:v>
      </x:c>
      <x:c r="I21" s="1" t="n">
        <x:v>12</x:v>
      </x:c>
      <x:c r="J21" s="1" t="str">
        <x:v>Multi-district</x:v>
      </x:c>
      <x:c r="K21" s="1"/>
      <x:c r="L21" s="1"/>
      <x:c r="M21" s="1"/>
      <x:c r="N21" s="1"/>
      <x:c r="O21" s="1"/>
      <x:c r="P21" s="1"/>
      <x:c r="Q21" s="1"/>
      <x:c r="R21" s="1"/>
      <x:c r="S21" s="1"/>
      <x:c r="T21" s="1"/>
      <x:c r="U21" s="1"/>
      <x:c r="V21" s="1"/>
      <x:c r="W21" s="1"/>
      <x:c r="X21" s="1"/>
      <x:c r="Y21" s="1"/>
      <x:c r="Z21" s="1"/>
      <x:c r="AA21" s="1"/>
    </x:row>
    <x:row r="22" ht="29" customHeight="1">
      <x:c r="A22" s="16" t="n">
        <x:v>2023</x:v>
      </x:c>
      <x:c r="B22" s="1" t="str">
        <x:v>HB 2518</x:v>
      </x:c>
      <x:c r="C22" s="1" t="str">
        <x:v>103-0315</x:v>
      </x:c>
      <x:c r="D22" s="14" t="d">
        <x:v>2023-07-28T00:00:00.000Z</x:v>
      </x:c>
      <x:c r="E22" s="1" t="n">
        <x:f>COUNTIF(Extensions!$C$8:$C$180,C22)</x:f>
        <x:v>7</x:v>
      </x:c>
      <x:c r="F22" s="1" t="n">
        <x:f>SUMIF(Extensions!$C$8:$C$180,C22,Extensions!$Y$8:$Y$180)</x:f>
        <x:v>7</x:v>
      </x:c>
      <x:c r="G22" s="20" t="n">
        <x:f>SUMIF(Extensions!$C$8:$C$180,C22,Extensions!$M$8:$M$180)</x:f>
        <x:v>42077074.39</x:v>
      </x:c>
      <x:c r="H22" s="20" t="n">
        <x:f>SUMIF(Extensions!$C$8:$C$180,C22,Extensions!$N$8:$N$180)</x:f>
        <x:v>504924892.67999995</x:v>
      </x:c>
      <x:c r="I22" s="1" t="n">
        <x:v>12</x:v>
      </x:c>
      <x:c r="J22" s="1" t="str">
        <x:v>Multi-district</x:v>
      </x:c>
      <x:c r="K22" s="1"/>
      <x:c r="L22" s="1"/>
      <x:c r="M22" s="1"/>
      <x:c r="N22" s="1"/>
      <x:c r="O22" s="1"/>
      <x:c r="P22" s="1"/>
      <x:c r="Q22" s="1"/>
      <x:c r="R22" s="1"/>
      <x:c r="S22" s="1"/>
      <x:c r="T22" s="1"/>
      <x:c r="U22" s="1"/>
      <x:c r="V22" s="1"/>
      <x:c r="W22" s="1"/>
      <x:c r="X22" s="1"/>
      <x:c r="Y22" s="1"/>
      <x:c r="Z22" s="1"/>
      <x:c r="AA22" s="1"/>
    </x:row>
    <x:row r="23" ht="29" customHeight="1">
      <x:c r="A23" s="16" t="n">
        <x:v>2023</x:v>
      </x:c>
      <x:c r="B23" s="1" t="str">
        <x:v>SB 696</x:v>
      </x:c>
      <x:c r="C23" s="1" t="str">
        <x:v>103-0575</x:v>
      </x:c>
      <x:c r="D23" s="14" t="d">
        <x:v>2023-12-08T00:00:00.000Z</x:v>
      </x:c>
      <x:c r="E23" s="1" t="n">
        <x:f>COUNTIF(Extensions!$C$8:$C$180,C23)</x:f>
        <x:v>13</x:v>
      </x:c>
      <x:c r="F23" s="1" t="n">
        <x:f>SUMIF(Extensions!$C$8:$C$180,C23,Extensions!$Y$8:$Y$180)</x:f>
        <x:v>13</x:v>
      </x:c>
      <x:c r="G23" s="20" t="n">
        <x:f>SUMIF(Extensions!$C$8:$C$180,C23,Extensions!$M$8:$M$180)</x:f>
        <x:v>36585703.41</x:v>
      </x:c>
      <x:c r="H23" s="20" t="n">
        <x:f>SUMIF(Extensions!$C$8:$C$180,C23,Extensions!$N$8:$N$180)</x:f>
        <x:v>439028440.92</x:v>
      </x:c>
      <x:c r="I23" s="1" t="n">
        <x:v>12</x:v>
      </x:c>
      <x:c r="J23" s="1" t="str">
        <x:v>Multi-district</x:v>
      </x:c>
      <x:c r="K23" s="1"/>
      <x:c r="L23" s="1"/>
      <x:c r="M23" s="1"/>
      <x:c r="N23" s="1"/>
      <x:c r="O23" s="1"/>
      <x:c r="P23" s="1"/>
      <x:c r="Q23" s="1"/>
      <x:c r="R23" s="1"/>
      <x:c r="S23" s="1"/>
      <x:c r="T23" s="1"/>
      <x:c r="U23" s="1"/>
      <x:c r="V23" s="1"/>
      <x:c r="W23" s="1"/>
      <x:c r="X23" s="1"/>
      <x:c r="Y23" s="1"/>
      <x:c r="Z23" s="1"/>
      <x:c r="AA23" s="1"/>
    </x:row>
    <x:row r="24" ht="29" customHeight="1">
      <x:c r="A24" s="16" t="n">
        <x:v>2024</x:v>
      </x:c>
      <x:c r="B24" s="1" t="str">
        <x:v>SB 3563</x:v>
      </x:c>
      <x:c r="C24" s="1" t="str">
        <x:v>103-1016</x:v>
      </x:c>
      <x:c r="D24" s="14" t="d">
        <x:v>2024-08-09T00:00:00.000Z</x:v>
      </x:c>
      <x:c r="E24" s="1" t="n">
        <x:f>COUNTIF(Extensions!$C$8:$C$180,C24)</x:f>
        <x:v>19</x:v>
      </x:c>
      <x:c r="F24" s="1" t="n">
        <x:f>SUMIF(Extensions!$C$8:$C$180,C24,Extensions!$Y$8:$Y$180)</x:f>
        <x:v>19</x:v>
      </x:c>
      <x:c r="G24" s="20" t="n">
        <x:f>SUMIF(Extensions!$C$8:$C$180,C24,Extensions!$M$8:$M$180)</x:f>
        <x:v>61408704.730000004</x:v>
      </x:c>
      <x:c r="H24" s="20" t="n">
        <x:f>SUMIF(Extensions!$C$8:$C$180,C24,Extensions!$N$8:$N$180)</x:f>
        <x:v>736416770.76</x:v>
      </x:c>
      <x:c r="I24" s="1" t="str">
        <x:v>9 or 12</x:v>
      </x:c>
      <x:c r="J24" s="1" t="str">
        <x:v>Multi-district</x:v>
      </x:c>
      <x:c r="K24" s="1"/>
      <x:c r="L24" s="1"/>
      <x:c r="M24" s="1"/>
      <x:c r="N24" s="1"/>
      <x:c r="O24" s="1"/>
      <x:c r="P24" s="1"/>
      <x:c r="Q24" s="1"/>
      <x:c r="R24" s="1"/>
      <x:c r="S24" s="1"/>
      <x:c r="T24" s="1"/>
      <x:c r="U24" s="1"/>
      <x:c r="V24" s="1"/>
      <x:c r="W24" s="1"/>
      <x:c r="X24" s="1"/>
      <x:c r="Y24" s="1"/>
      <x:c r="Z24" s="1"/>
      <x:c r="AA24" s="1"/>
    </x:row>
    <x:row r="25" ht="29" customHeight="1">
      <x:c r="A25" s="16" t="n">
        <x:v>2024</x:v>
      </x:c>
      <x:c r="B25" s="1" t="str">
        <x:v>SB 2703</x:v>
      </x:c>
      <x:c r="C25" s="1" t="str">
        <x:v>103-1058</x:v>
      </x:c>
      <x:c r="D25" s="14" t="d">
        <x:v>2024-12-20T00:00:00.000Z</x:v>
      </x:c>
      <x:c r="E25" s="1" t="n">
        <x:f>COUNTIF(Extensions!$C$8:$C$180,C25)</x:f>
        <x:v>10</x:v>
      </x:c>
      <x:c r="F25" s="1" t="n">
        <x:f>SUMIF(Extensions!$C$8:$C$180,C25,Extensions!$Y$8:$Y$180)</x:f>
        <x:v>10</x:v>
      </x:c>
      <x:c r="G25" s="20" t="n">
        <x:f>SUMIF(Extensions!$C$8:$C$180,C25,Extensions!$M$8:$M$180)</x:f>
        <x:v>74582060.52</x:v>
      </x:c>
      <x:c r="H25" s="20" t="n">
        <x:f>SUMIF(Extensions!$C$8:$C$180,C25,Extensions!$N$8:$N$180)</x:f>
        <x:v>894984726.2399999</x:v>
      </x:c>
      <x:c r="I25" s="1" t="n">
        <x:v>12</x:v>
      </x:c>
      <x:c r="J25" s="1" t="str">
        <x:v>Multi-district</x:v>
      </x:c>
      <x:c r="K25" s="1"/>
      <x:c r="L25" s="1"/>
      <x:c r="M25" s="1"/>
      <x:c r="N25" s="1"/>
      <x:c r="O25" s="1"/>
      <x:c r="P25" s="1"/>
      <x:c r="Q25" s="1"/>
      <x:c r="R25" s="1"/>
      <x:c r="S25" s="1"/>
      <x:c r="T25" s="1"/>
      <x:c r="U25" s="1"/>
      <x:c r="V25" s="1"/>
      <x:c r="W25" s="1"/>
      <x:c r="X25" s="1"/>
      <x:c r="Y25" s="1"/>
      <x:c r="Z25" s="1"/>
      <x:c r="AA25" s="1"/>
    </x:row>
    <x:row r="26" ht="29" customHeight="1">
      <x:c r="A26" s="16" t="n">
        <x:v>2025</x:v>
      </x:c>
      <x:c r="B26" s="1" t="str">
        <x:v>HB 3662</x:v>
      </x:c>
      <x:c r="C26" s="1" t="str">
        <x:v>104-0322</x:v>
      </x:c>
      <x:c r="D26" s="14" t="d">
        <x:v>2025-08-15T00:00:00.000Z</x:v>
      </x:c>
      <x:c r="E26" s="1" t="n">
        <x:f>COUNTIF(Extensions!$C$8:$C$180,C26)</x:f>
        <x:v>10</x:v>
      </x:c>
      <x:c r="F26" s="1" t="n">
        <x:f>SUMIF(Extensions!$C$8:$C$180,C26,Extensions!$Y$8:$Y$180)</x:f>
        <x:v>10</x:v>
      </x:c>
      <x:c r="G26" s="20" t="n">
        <x:f>SUMIF(Extensions!$C$8:$C$180,C26,Extensions!$M$8:$M$180)</x:f>
        <x:v>10644468.26</x:v>
      </x:c>
      <x:c r="H26" s="20" t="n">
        <x:f>SUMIF(Extensions!$C$8:$C$180,C26,Extensions!$N$8:$N$180)</x:f>
        <x:v>127733619.12</x:v>
      </x:c>
      <x:c r="I26" s="1" t="n">
        <x:v>12</x:v>
      </x:c>
      <x:c r="J26" s="1" t="str">
        <x:v>Multi-district</x:v>
      </x:c>
      <x:c r="K26" s="1"/>
      <x:c r="L26" s="1"/>
      <x:c r="M26" s="1"/>
      <x:c r="N26" s="1"/>
      <x:c r="O26" s="1"/>
      <x:c r="P26" s="1"/>
      <x:c r="Q26" s="1"/>
      <x:c r="R26" s="1"/>
      <x:c r="S26" s="1"/>
      <x:c r="T26" s="1"/>
      <x:c r="U26" s="1"/>
      <x:c r="V26" s="1"/>
      <x:c r="W26" s="1"/>
      <x:c r="X26" s="1"/>
      <x:c r="Y26" s="1"/>
      <x:c r="Z26" s="1"/>
      <x:c r="AA26" s="1"/>
    </x:row>
    <x:row r="27" ht="29" customHeight="1">
      <x:c r="A27" s="16" t="n">
        <x:v>2025</x:v>
      </x:c>
      <x:c r="B27" s="1" t="str">
        <x:v>SB 642</x:v>
      </x:c>
      <x:c r="C27" s="1" t="str">
        <x:v>104-0452</x:v>
      </x:c>
      <x:c r="D27" s="14" t="d">
        <x:v>2025-12-12T00:00:00.000Z</x:v>
      </x:c>
      <x:c r="E27" s="1" t="n">
        <x:f>COUNTIF(Extensions!$C$8:$C$180,C27)</x:f>
        <x:v>7</x:v>
      </x:c>
      <x:c r="F27" s="1" t="n">
        <x:f>SUMIF(Extensions!$C$8:$C$180,C27,Extensions!$Y$8:$Y$180)</x:f>
        <x:v>7</x:v>
      </x:c>
      <x:c r="G27" s="20" t="n">
        <x:f>SUMIF(Extensions!$C$8:$C$180,C27,Extensions!$M$8:$M$180)</x:f>
        <x:v>26313949.650000002</x:v>
      </x:c>
      <x:c r="H27" s="20" t="n">
        <x:f>SUMIF(Extensions!$C$8:$C$180,C27,Extensions!$N$8:$N$180)</x:f>
        <x:v>315767395.8</x:v>
      </x:c>
      <x:c r="I27" s="1" t="n">
        <x:v>12</x:v>
      </x:c>
      <x:c r="J27" s="1" t="str">
        <x:v>Multi-district</x:v>
      </x:c>
      <x:c r="K27" s="1"/>
      <x:c r="L27" s="1"/>
      <x:c r="M27" s="1"/>
      <x:c r="N27" s="1"/>
      <x:c r="O27" s="1"/>
      <x:c r="P27" s="1"/>
      <x:c r="Q27" s="1"/>
      <x:c r="R27" s="1"/>
      <x:c r="S27" s="1"/>
      <x:c r="T27" s="1"/>
      <x:c r="U27" s="1"/>
      <x:c r="V27" s="1"/>
      <x:c r="W27" s="1"/>
      <x:c r="X27" s="1"/>
      <x:c r="Y27" s="1"/>
      <x:c r="Z27" s="1"/>
      <x:c r="AA27" s="1"/>
    </x:row>
    <x:row r="28" ht="29" customHeight="1">
      <x:c r="A28" s="16" t="n">
        <x:v>2026</x:v>
      </x:c>
      <x:c r="B28" s="1" t="str">
        <x:v>HB 1441</x:v>
      </x:c>
      <x:c r="C28" s="1" t="str">
        <x:v>104-0756</x:v>
      </x:c>
      <x:c r="D28" s="14" t="d">
        <x:v>2026-08-07T00:00:00.000Z</x:v>
      </x:c>
      <x:c r="E28" s="1" t="n">
        <x:f>COUNTIF(Extensions!$C$8:$C$180,C28)</x:f>
        <x:v>15</x:v>
      </x:c>
      <x:c r="F28" s="1" t="n">
        <x:f>SUMIF(Extensions!$C$8:$C$180,C28,Extensions!$Y$8:$Y$180)</x:f>
        <x:v>15</x:v>
      </x:c>
      <x:c r="G28" s="20" t="n">
        <x:f>SUMIF(Extensions!$C$8:$C$180,C28,Extensions!$M$8:$M$180)</x:f>
        <x:v>20940313.65</x:v>
      </x:c>
      <x:c r="H28" s="20" t="n">
        <x:f>SUMIF(Extensions!$C$8:$C$180,C28,Extensions!$N$8:$N$180)</x:f>
        <x:v>251283763.8</x:v>
      </x:c>
      <x:c r="I28" s="1" t="n">
        <x:v>12</x:v>
      </x:c>
      <x:c r="J28" s="1" t="str">
        <x:v>Multi-district</x:v>
      </x:c>
      <x:c r="K28" s="1"/>
      <x:c r="L28" s="1"/>
      <x:c r="M28" s="1"/>
      <x:c r="N28" s="1"/>
      <x:c r="O28" s="1"/>
      <x:c r="P28" s="1"/>
      <x:c r="Q28" s="1"/>
      <x:c r="R28" s="1"/>
      <x:c r="S28" s="1"/>
      <x:c r="T28" s="1"/>
      <x:c r="U28" s="1"/>
      <x:c r="V28" s="1"/>
      <x:c r="W28" s="1"/>
      <x:c r="X28" s="1"/>
      <x:c r="Y28" s="1"/>
      <x:c r="Z28" s="1"/>
      <x:c r="AA28" s="1"/>
    </x:row>
    <x:row r="29">
      <x:c r="A29" s="1"/>
      <x:c r="B29" s="1"/>
      <x:c r="C29" s="1"/>
      <x:c r="D29" s="1"/>
      <x:c r="E29" s="1"/>
      <x:c r="F29" s="1"/>
      <x:c r="G29" s="20"/>
      <x:c r="H29" s="20"/>
      <x:c r="I29" s="1"/>
      <x:c r="J29" s="1"/>
      <x:c r="K29" s="1"/>
      <x:c r="L29" s="1"/>
      <x:c r="M29" s="1"/>
      <x:c r="N29" s="1"/>
      <x:c r="O29" s="1"/>
      <x:c r="P29" s="1"/>
      <x:c r="Q29" s="1"/>
      <x:c r="R29" s="1"/>
      <x:c r="S29" s="1"/>
      <x:c r="T29" s="1"/>
      <x:c r="U29" s="1"/>
      <x:c r="V29" s="1"/>
      <x:c r="W29" s="1"/>
      <x:c r="X29" s="1"/>
      <x:c r="Y29" s="1"/>
      <x:c r="Z29" s="1"/>
      <x:c r="AA29" s="1"/>
    </x:row>
    <x:row r="30" ht="30" customHeight="1">
      <x:c r="A30" s="5" t="str">
        <x:v>TOTAL — partial financial coverage</x:v>
      </x:c>
      <x:c r="B30" s="5"/>
      <x:c r="C30" s="5"/>
      <x:c r="D30" s="5"/>
      <x:c r="E30" s="5" t="n">
        <x:f>SUM(E8:E28)</x:f>
        <x:v>173</x:v>
      </x:c>
      <x:c r="F30" s="5" t="n">
        <x:f>SUM(F8:F28)</x:f>
        <x:v>169</x:v>
      </x:c>
      <x:c r="G30" s="21" t="n">
        <x:f>SUM(G8:G28)</x:f>
        <x:v>861240145.3799999</x:v>
      </x:c>
      <x:c r="H30" s="21" t="n">
        <x:f>SUM(H8:H28)</x:f>
        <x:v>10334394058.56</x:v>
      </x:c>
      <x:c r="I30" s="5"/>
      <x:c r="J30" s="5"/>
      <x:c r="K30" s="1"/>
      <x:c r="L30" s="1"/>
      <x:c r="M30" s="1"/>
      <x:c r="N30" s="1"/>
      <x:c r="O30" s="1"/>
      <x:c r="P30" s="1"/>
      <x:c r="Q30" s="1"/>
      <x:c r="R30" s="1"/>
      <x:c r="S30" s="1"/>
      <x:c r="T30" s="1"/>
      <x:c r="U30" s="1"/>
      <x:c r="V30" s="1"/>
      <x:c r="W30" s="1"/>
      <x:c r="X30" s="1"/>
      <x:c r="Y30" s="1"/>
      <x:c r="Z30" s="1"/>
      <x:c r="AA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c r="AA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c r="AA32" s="1"/>
    </x:row>
    <x:row r="33" ht="45" customHeight="1">
      <x:c r="A33" s="7" t="str">
        <x:v>How to interpret the list</x:v>
      </x:c>
      <x:c r="B33" s="7"/>
      <x:c r="C33" s="6" t="str">
        <x:v>Each row is a newly authorized district extension in the cited law. Existing clauses merely restated or renumbered are excluded.</x:v>
      </x:c>
      <x:c r="D33" s="6"/>
      <x:c r="E33" s="6"/>
      <x:c r="F33" s="6"/>
      <x:c r="G33" s="6"/>
      <x:c r="H33" s="6"/>
      <x:c r="I33" s="6"/>
      <x:c r="J33" s="6"/>
      <x:c r="K33" s="1"/>
      <x:c r="L33" s="1"/>
      <x:c r="M33" s="1"/>
      <x:c r="N33" s="1"/>
      <x:c r="O33" s="1"/>
      <x:c r="P33" s="1"/>
      <x:c r="Q33" s="1"/>
      <x:c r="R33" s="1"/>
      <x:c r="S33" s="1"/>
      <x:c r="T33" s="1"/>
      <x:c r="U33" s="1"/>
      <x:c r="V33" s="1"/>
      <x:c r="W33" s="1"/>
      <x:c r="X33" s="1"/>
      <x:c r="Y33" s="1"/>
      <x:c r="Z33" s="1"/>
      <x:c r="AA33" s="1"/>
    </x:row>
    <x:row r="34" ht="45" customHeight="1">
      <x:c r="A34" s="7" t="str">
        <x:v>Extension terms</x:v>
      </x:c>
      <x:c r="B34" s="7"/>
      <x:c r="C34" s="6" t="str">
        <x:v>Most add 12 years: 23 to 35 years, or 35 to 47 years. Tremont adds 9 years, from 23 to 32. Calendar-year and tax-collection rules can affect the last collection year.</x:v>
      </x:c>
      <x:c r="D34" s="6"/>
      <x:c r="E34" s="6"/>
      <x:c r="F34" s="6"/>
      <x:c r="G34" s="6"/>
      <x:c r="H34" s="6"/>
      <x:c r="I34" s="6"/>
      <x:c r="J34" s="6"/>
      <x:c r="K34" s="1"/>
      <x:c r="L34" s="1"/>
      <x:c r="M34" s="1"/>
      <x:c r="N34" s="1"/>
      <x:c r="O34" s="1"/>
      <x:c r="P34" s="1"/>
      <x:c r="Q34" s="1"/>
      <x:c r="R34" s="1"/>
      <x:c r="S34" s="1"/>
      <x:c r="T34" s="1"/>
      <x:c r="U34" s="1"/>
      <x:c r="V34" s="1"/>
      <x:c r="W34" s="1"/>
      <x:c r="X34" s="1"/>
      <x:c r="Y34" s="1"/>
      <x:c r="Z34" s="1"/>
      <x:c r="AA34" s="1"/>
    </x:row>
    <x:row r="35" ht="45" customHeight="1">
      <x:c r="A35" s="7" t="str">
        <x:v>Authorization versus implementation</x:v>
      </x:c>
      <x:c r="B35" s="7"/>
      <x:c r="C35" s="6" t="str">
        <x:v>A signed state law authorizes an extension. This list does not verify every local adoption ordinance, required consent, boundary amendment, or early termination.</x:v>
      </x:c>
      <x:c r="D35" s="6"/>
      <x:c r="E35" s="6"/>
      <x:c r="F35" s="6"/>
      <x:c r="G35" s="6"/>
      <x:c r="H35" s="6"/>
      <x:c r="I35" s="6"/>
      <x:c r="J35" s="6"/>
      <x:c r="K35" s="1"/>
      <x:c r="L35" s="1"/>
      <x:c r="M35" s="1"/>
      <x:c r="N35" s="1"/>
      <x:c r="O35" s="1"/>
      <x:c r="P35" s="1"/>
      <x:c r="Q35" s="1"/>
      <x:c r="R35" s="1"/>
      <x:c r="S35" s="1"/>
      <x:c r="T35" s="1"/>
      <x:c r="U35" s="1"/>
      <x:c r="V35" s="1"/>
      <x:c r="W35" s="1"/>
      <x:c r="X35" s="1"/>
      <x:c r="Y35" s="1"/>
      <x:c r="Z35" s="1"/>
      <x:c r="AA35" s="1"/>
    </x:row>
    <x:row r="36" ht="45" customHeight="1">
      <x:c r="A36" s="7" t="str">
        <x:v>Property-tax increase</x:v>
      </x:c>
      <x:c r="B36" s="7"/>
      <x:c r="C36" s="6" t="str">
        <x:v>Actual tax-bill changes require a counterfactual tax-base and levy model for overlapping taxing districts. TIF receipts alone cannot establish that increase. No causal tax-increase amount is claimed.</x:v>
      </x:c>
      <x:c r="D36" s="6"/>
      <x:c r="E36" s="6"/>
      <x:c r="F36" s="6"/>
      <x:c r="G36" s="6"/>
      <x:c r="H36" s="6"/>
      <x:c r="I36" s="6"/>
      <x:c r="J36" s="6"/>
      <x:c r="K36" s="1"/>
      <x:c r="L36" s="1"/>
      <x:c r="M36" s="1"/>
      <x:c r="N36" s="1"/>
      <x:c r="O36" s="1"/>
      <x:c r="P36" s="1"/>
      <x:c r="Q36" s="1"/>
      <x:c r="R36" s="1"/>
      <x:c r="S36" s="1"/>
      <x:c r="T36" s="1"/>
      <x:c r="U36" s="1"/>
      <x:c r="V36" s="1"/>
      <x:c r="W36" s="1"/>
      <x:c r="X36" s="1"/>
      <x:c r="Y36" s="1"/>
      <x:c r="Z36" s="1"/>
      <x:c r="AA36" s="1"/>
    </x:row>
    <x:row r="37" ht="45" customHeight="1">
      <x:c r="A37" s="7" t="str">
        <x:v>Financial baselines</x:v>
      </x:c>
      <x:c r="B37" s="7"/>
      <x:c r="C37" s="6" t="str">
        <x:v>Cook County rows generally use tax-year 2024 Clerk revenue. Other rows use municipal annual-report current-year property-tax increment, generally FY2025, with each year identified. These are different accounting periods and bases.</x:v>
      </x:c>
      <x:c r="D37" s="6"/>
      <x:c r="E37" s="6"/>
      <x:c r="F37" s="6"/>
      <x:c r="G37" s="6"/>
      <x:c r="H37" s="6"/>
      <x:c r="I37" s="6"/>
      <x:c r="J37" s="6"/>
      <x:c r="K37" s="1"/>
      <x:c r="L37" s="1"/>
      <x:c r="M37" s="1"/>
      <x:c r="N37" s="1"/>
      <x:c r="O37" s="1"/>
      <x:c r="P37" s="1"/>
      <x:c r="Q37" s="1"/>
      <x:c r="R37" s="1"/>
      <x:c r="S37" s="1"/>
      <x:c r="T37" s="1"/>
      <x:c r="U37" s="1"/>
      <x:c r="V37" s="1"/>
      <x:c r="W37" s="1"/>
      <x:c r="X37" s="1"/>
      <x:c r="Y37" s="1"/>
      <x:c r="Z37" s="1"/>
      <x:c r="AA37" s="1"/>
    </x:row>
    <x:row r="38" ht="45" customHeight="1">
      <x:c r="A38" s="7" t="str">
        <x:v>Projection limits</x:v>
      </x:c>
      <x:c r="B38" s="7"/>
      <x:c r="C38" s="6" t="str">
        <x:v>Historical annual increment multiplied by added years is an illustrative gross scale estimate, not an official forecast, net fiscal cost, present value, or realized collection total. It assumes all added years operate at the baseline amount.</x:v>
      </x:c>
      <x:c r="D38" s="6"/>
      <x:c r="E38" s="6"/>
      <x:c r="F38" s="6"/>
      <x:c r="G38" s="6"/>
      <x:c r="H38" s="6"/>
      <x:c r="I38" s="6"/>
      <x:c r="J38" s="6"/>
      <x:c r="K38" s="1"/>
      <x:c r="L38" s="1"/>
      <x:c r="M38" s="1"/>
      <x:c r="N38" s="1"/>
      <x:c r="O38" s="1"/>
      <x:c r="P38" s="1"/>
      <x:c r="Q38" s="1"/>
      <x:c r="R38" s="1"/>
      <x:c r="S38" s="1"/>
      <x:c r="T38" s="1"/>
      <x:c r="U38" s="1"/>
      <x:c r="V38" s="1"/>
      <x:c r="W38" s="1"/>
      <x:c r="X38" s="1"/>
      <x:c r="Y38" s="1"/>
      <x:c r="Z38" s="1"/>
      <x:c r="AA38" s="1"/>
    </x:row>
    <x:row r="39" ht="45" customHeight="1">
      <x:c r="A39" s="7" t="str">
        <x:v>Surplus and future changes</x:v>
      </x:c>
      <x:c r="B39" s="7"/>
      <x:c r="C39" s="6" t="str">
        <x:v>Surplus distributions, intergovernmental payments, refunds, reassessment, new construction, tax-rate changes and early termination can materially change retained revenue. No adjustments are modeled.</x:v>
      </x:c>
      <x:c r="D39" s="6"/>
      <x:c r="E39" s="6"/>
      <x:c r="F39" s="6"/>
      <x:c r="G39" s="6"/>
      <x:c r="H39" s="6"/>
      <x:c r="I39" s="6"/>
      <x:c r="J39" s="6"/>
      <x:c r="K39" s="1"/>
      <x:c r="L39" s="1"/>
      <x:c r="M39" s="1"/>
      <x:c r="N39" s="1"/>
      <x:c r="O39" s="1"/>
      <x:c r="P39" s="1"/>
      <x:c r="Q39" s="1"/>
      <x:c r="R39" s="1"/>
      <x:c r="S39" s="1"/>
      <x:c r="T39" s="1"/>
      <x:c r="U39" s="1"/>
      <x:c r="V39" s="1"/>
      <x:c r="W39" s="1"/>
      <x:c r="X39" s="1"/>
      <x:c r="Y39" s="1"/>
      <x:c r="Z39" s="1"/>
      <x:c r="AA39" s="1"/>
    </x:row>
    <x:row r="40" ht="45" customHeight="1">
      <x:c r="A40" s="7" t="str">
        <x:v>Missing / provisional items</x:v>
      </x:c>
      <x:c r="B40" s="7"/>
      <x:c r="C40" s="6" t="str">
        <x:v>Four rows lack a verified financial baseline. Three lack a confirmed district name. Date discrepancies and provisional financial matches are identified in the detail notes.</x:v>
      </x:c>
      <x:c r="D40" s="6"/>
      <x:c r="E40" s="6"/>
      <x:c r="F40" s="6"/>
      <x:c r="G40" s="6"/>
      <x:c r="H40" s="6"/>
      <x:c r="I40" s="6"/>
      <x:c r="J40" s="6"/>
      <x:c r="K40" s="1"/>
      <x:c r="L40" s="1"/>
      <x:c r="M40" s="1"/>
      <x:c r="N40" s="1"/>
      <x:c r="O40" s="1"/>
      <x:c r="P40" s="1"/>
      <x:c r="Q40" s="1"/>
      <x:c r="R40" s="1"/>
      <x:c r="S40" s="1"/>
      <x:c r="T40" s="1"/>
      <x:c r="U40" s="1"/>
      <x:c r="V40" s="1"/>
      <x:c r="W40" s="1"/>
      <x:c r="X40" s="1"/>
      <x:c r="Y40" s="1"/>
      <x:c r="Z40" s="1"/>
      <x:c r="AA40" s="1"/>
    </x:row>
    <x:row r="41" ht="45" customHeight="1">
      <x:c r="A41" s="7" t="str">
        <x:v>Sources and local documents</x:v>
      </x:c>
      <x:c r="B41" s="7"/>
      <x:c r="C41" s="6" t="str">
        <x:v>Detail rows link the signed act, bill history, annual report or report index, and financial source. Annual filings may include extension ordinances and redevelopment plans as attachments. A report link is not proof that it contains an extension ordinance.</x:v>
      </x:c>
      <x:c r="D41" s="6"/>
      <x:c r="E41" s="6"/>
      <x:c r="F41" s="6"/>
      <x:c r="G41" s="6"/>
      <x:c r="H41" s="6"/>
      <x:c r="I41" s="6"/>
      <x:c r="J41" s="6"/>
      <x:c r="K41" s="1"/>
      <x:c r="L41" s="1"/>
      <x:c r="M41" s="1"/>
      <x:c r="N41" s="1"/>
      <x:c r="O41" s="1"/>
      <x:c r="P41" s="1"/>
      <x:c r="Q41" s="1"/>
      <x:c r="R41" s="1"/>
      <x:c r="S41" s="1"/>
      <x:c r="T41" s="1"/>
      <x:c r="U41" s="1"/>
      <x:c r="V41" s="1"/>
      <x:c r="W41" s="1"/>
      <x:c r="X41" s="1"/>
      <x:c r="Y41" s="1"/>
      <x:c r="Z41" s="1"/>
      <x:c r="AA41" s="1"/>
    </x:row>
    <x:row r="42" ht="45" customHeight="1">
      <x:c r="A42" s="7" t="str">
        <x:v>Unresolved names</x:v>
      </x:c>
      <x:c r="B42" s="7"/>
      <x:c r="C42" s="6" t="str">
        <x:v>Cahokia (Dec. 31, 1986) and East St. Louis (Dec. 29, 1986; Jan. 23, 1991) are identified by the statutory establishment dates because a name match was not verified.</x:v>
      </x:c>
      <x:c r="D42" s="6"/>
      <x:c r="E42" s="6"/>
      <x:c r="F42" s="6"/>
      <x:c r="G42" s="6"/>
      <x:c r="H42" s="6"/>
      <x:c r="I42" s="6"/>
      <x:c r="J42" s="6"/>
      <x:c r="K42" s="1"/>
      <x:c r="L42" s="1"/>
      <x:c r="M42" s="1"/>
      <x:c r="N42" s="1"/>
      <x:c r="O42" s="1"/>
      <x:c r="P42" s="1"/>
      <x:c r="Q42" s="1"/>
      <x:c r="R42" s="1"/>
      <x:c r="S42" s="1"/>
      <x:c r="T42" s="1"/>
      <x:c r="U42" s="1"/>
      <x:c r="V42" s="1"/>
      <x:c r="W42" s="1"/>
      <x:c r="X42" s="1"/>
      <x:c r="Y42" s="1"/>
      <x:c r="Z42" s="1"/>
      <x:c r="AA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c r="AA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c r="AA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c r="AA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c r="AA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c r="AA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c r="AA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c r="AA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c r="AA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c r="AA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c r="AA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c r="AA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c r="AA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c r="AA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c r="AA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c r="AA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c r="AA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c r="AA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c r="AA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c r="AA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c r="AA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c r="AA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c r="AA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c r="AA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c r="AA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c r="AA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c r="AA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c r="AA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c r="AA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c r="AA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c r="AA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c r="AA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c r="AA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c r="AA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c r="AA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c r="AA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c r="AA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c r="AA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c r="AA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c r="AA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c r="AA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c r="AA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c r="AA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c r="AA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c r="AA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c r="AA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c r="AA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c r="AA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c r="AA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c r="AA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c r="AA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c r="AA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c r="AA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c r="AA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c r="AA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c r="AA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c r="AA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c r="AA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c r="AA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c r="AA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c r="AA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c r="AA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c r="AA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c r="AA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c r="AA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c r="AA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c r="AA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c r="AA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c r="AA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c r="AA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c r="AA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c r="AA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c r="AA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c r="AA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c r="AA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c r="AA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c r="AA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c r="AA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c r="AA120" s="1"/>
    </x:row>
    <x:row r="121">
      <x:c r="A121" s="1"/>
      <x:c r="B121" s="1"/>
      <x:c r="C121" s="1"/>
      <x:c r="D121" s="1"/>
      <x:c r="E121" s="1"/>
      <x:c r="F121" s="1"/>
      <x:c r="G121" s="1"/>
      <x:c r="H121" s="1"/>
      <x:c r="I121" s="1"/>
      <x:c r="J121" s="1"/>
      <x:c r="K121" s="1"/>
      <x:c r="L121" s="1"/>
      <x:c r="M121" s="1"/>
      <x:c r="N121" s="1"/>
      <x:c r="O121" s="1"/>
      <x:c r="P121" s="1"/>
      <x:c r="Q121" s="1"/>
      <x:c r="R121" s="1"/>
      <x:c r="S121" s="1"/>
      <x:c r="T121" s="1"/>
      <x:c r="U121" s="1"/>
      <x:c r="V121" s="1"/>
      <x:c r="W121" s="1"/>
      <x:c r="X121" s="1"/>
      <x:c r="Y121" s="1"/>
      <x:c r="Z121" s="1"/>
      <x:c r="AA121" s="1"/>
    </x:row>
    <x:row r="122">
      <x:c r="A122" s="1"/>
      <x:c r="B122" s="1"/>
      <x:c r="C122" s="1"/>
      <x:c r="D122" s="1"/>
      <x:c r="E122" s="1"/>
      <x:c r="F122" s="1"/>
      <x:c r="G122" s="1"/>
      <x:c r="H122" s="1"/>
      <x:c r="I122" s="1"/>
      <x:c r="J122" s="1"/>
      <x:c r="K122" s="1"/>
      <x:c r="L122" s="1"/>
      <x:c r="M122" s="1"/>
      <x:c r="N122" s="1"/>
      <x:c r="O122" s="1"/>
      <x:c r="P122" s="1"/>
      <x:c r="Q122" s="1"/>
      <x:c r="R122" s="1"/>
      <x:c r="S122" s="1"/>
      <x:c r="T122" s="1"/>
      <x:c r="U122" s="1"/>
      <x:c r="V122" s="1"/>
      <x:c r="W122" s="1"/>
      <x:c r="X122" s="1"/>
      <x:c r="Y122" s="1"/>
      <x:c r="Z122" s="1"/>
      <x:c r="AA122" s="1"/>
    </x:row>
    <x:row r="123">
      <x:c r="A123" s="1"/>
      <x:c r="B123" s="1"/>
      <x:c r="C123" s="1"/>
      <x:c r="D123" s="1"/>
      <x:c r="E123" s="1"/>
      <x:c r="F123" s="1"/>
      <x:c r="G123" s="1"/>
      <x:c r="H123" s="1"/>
      <x:c r="I123" s="1"/>
      <x:c r="J123" s="1"/>
      <x:c r="K123" s="1"/>
      <x:c r="L123" s="1"/>
      <x:c r="M123" s="1"/>
      <x:c r="N123" s="1"/>
      <x:c r="O123" s="1"/>
      <x:c r="P123" s="1"/>
      <x:c r="Q123" s="1"/>
      <x:c r="R123" s="1"/>
      <x:c r="S123" s="1"/>
      <x:c r="T123" s="1"/>
      <x:c r="U123" s="1"/>
      <x:c r="V123" s="1"/>
      <x:c r="W123" s="1"/>
      <x:c r="X123" s="1"/>
      <x:c r="Y123" s="1"/>
      <x:c r="Z123" s="1"/>
      <x:c r="AA123" s="1"/>
    </x:row>
    <x:row r="124">
      <x:c r="A124" s="1"/>
      <x:c r="B124" s="1"/>
      <x:c r="C124" s="1"/>
      <x:c r="D124" s="1"/>
      <x:c r="E124" s="1"/>
      <x:c r="F124" s="1"/>
      <x:c r="G124" s="1"/>
      <x:c r="H124" s="1"/>
      <x:c r="I124" s="1"/>
      <x:c r="J124" s="1"/>
      <x:c r="K124" s="1"/>
      <x:c r="L124" s="1"/>
      <x:c r="M124" s="1"/>
      <x:c r="N124" s="1"/>
      <x:c r="O124" s="1"/>
      <x:c r="P124" s="1"/>
      <x:c r="Q124" s="1"/>
      <x:c r="R124" s="1"/>
      <x:c r="S124" s="1"/>
      <x:c r="T124" s="1"/>
      <x:c r="U124" s="1"/>
      <x:c r="V124" s="1"/>
      <x:c r="W124" s="1"/>
      <x:c r="X124" s="1"/>
      <x:c r="Y124" s="1"/>
      <x:c r="Z124" s="1"/>
      <x:c r="AA124" s="1"/>
    </x:row>
    <x:row r="125">
      <x:c r="A125" s="1"/>
      <x:c r="B125" s="1"/>
      <x:c r="C125" s="1"/>
      <x:c r="D125" s="1"/>
      <x:c r="E125" s="1"/>
      <x:c r="F125" s="1"/>
      <x:c r="G125" s="1"/>
      <x:c r="H125" s="1"/>
      <x:c r="I125" s="1"/>
      <x:c r="J125" s="1"/>
      <x:c r="K125" s="1"/>
      <x:c r="L125" s="1"/>
      <x:c r="M125" s="1"/>
      <x:c r="N125" s="1"/>
      <x:c r="O125" s="1"/>
      <x:c r="P125" s="1"/>
      <x:c r="Q125" s="1"/>
      <x:c r="R125" s="1"/>
      <x:c r="S125" s="1"/>
      <x:c r="T125" s="1"/>
      <x:c r="U125" s="1"/>
      <x:c r="V125" s="1"/>
      <x:c r="W125" s="1"/>
      <x:c r="X125" s="1"/>
      <x:c r="Y125" s="1"/>
      <x:c r="Z125" s="1"/>
      <x:c r="AA125" s="1"/>
    </x:row>
    <x:row r="126">
      <x:c r="A126" s="1"/>
      <x:c r="B126" s="1"/>
      <x:c r="C126" s="1"/>
      <x:c r="D126" s="1"/>
      <x:c r="E126" s="1"/>
      <x:c r="F126" s="1"/>
      <x:c r="G126" s="1"/>
      <x:c r="H126" s="1"/>
      <x:c r="I126" s="1"/>
      <x:c r="J126" s="1"/>
      <x:c r="K126" s="1"/>
      <x:c r="L126" s="1"/>
      <x:c r="M126" s="1"/>
      <x:c r="N126" s="1"/>
      <x:c r="O126" s="1"/>
      <x:c r="P126" s="1"/>
      <x:c r="Q126" s="1"/>
      <x:c r="R126" s="1"/>
      <x:c r="S126" s="1"/>
      <x:c r="T126" s="1"/>
      <x:c r="U126" s="1"/>
      <x:c r="V126" s="1"/>
      <x:c r="W126" s="1"/>
      <x:c r="X126" s="1"/>
      <x:c r="Y126" s="1"/>
      <x:c r="Z126" s="1"/>
      <x:c r="AA126" s="1"/>
    </x:row>
    <x:row r="127">
      <x:c r="A127" s="1"/>
      <x:c r="B127" s="1"/>
      <x:c r="C127" s="1"/>
      <x:c r="D127" s="1"/>
      <x:c r="E127" s="1"/>
      <x:c r="F127" s="1"/>
      <x:c r="G127" s="1"/>
      <x:c r="H127" s="1"/>
      <x:c r="I127" s="1"/>
      <x:c r="J127" s="1"/>
      <x:c r="K127" s="1"/>
      <x:c r="L127" s="1"/>
      <x:c r="M127" s="1"/>
      <x:c r="N127" s="1"/>
      <x:c r="O127" s="1"/>
      <x:c r="P127" s="1"/>
      <x:c r="Q127" s="1"/>
      <x:c r="R127" s="1"/>
      <x:c r="S127" s="1"/>
      <x:c r="T127" s="1"/>
      <x:c r="U127" s="1"/>
      <x:c r="V127" s="1"/>
      <x:c r="W127" s="1"/>
      <x:c r="X127" s="1"/>
      <x:c r="Y127" s="1"/>
      <x:c r="Z127" s="1"/>
      <x:c r="AA127" s="1"/>
    </x:row>
    <x:row r="128">
      <x:c r="A128" s="1"/>
      <x:c r="B128" s="1"/>
      <x:c r="C128" s="1"/>
      <x:c r="D128" s="1"/>
      <x:c r="E128" s="1"/>
      <x:c r="F128" s="1"/>
      <x:c r="G128" s="1"/>
      <x:c r="H128" s="1"/>
      <x:c r="I128" s="1"/>
      <x:c r="J128" s="1"/>
      <x:c r="K128" s="1"/>
      <x:c r="L128" s="1"/>
      <x:c r="M128" s="1"/>
      <x:c r="N128" s="1"/>
      <x:c r="O128" s="1"/>
      <x:c r="P128" s="1"/>
      <x:c r="Q128" s="1"/>
      <x:c r="R128" s="1"/>
      <x:c r="S128" s="1"/>
      <x:c r="T128" s="1"/>
      <x:c r="U128" s="1"/>
      <x:c r="V128" s="1"/>
      <x:c r="W128" s="1"/>
      <x:c r="X128" s="1"/>
      <x:c r="Y128" s="1"/>
      <x:c r="Z128" s="1"/>
      <x:c r="AA128" s="1"/>
    </x:row>
    <x:row r="129">
      <x:c r="A129" s="1"/>
      <x:c r="B129" s="1"/>
      <x:c r="C129" s="1"/>
      <x:c r="D129" s="1"/>
      <x:c r="E129" s="1"/>
      <x:c r="F129" s="1"/>
      <x:c r="G129" s="1"/>
      <x:c r="H129" s="1"/>
      <x:c r="I129" s="1"/>
      <x:c r="J129" s="1"/>
      <x:c r="K129" s="1"/>
      <x:c r="L129" s="1"/>
      <x:c r="M129" s="1"/>
      <x:c r="N129" s="1"/>
      <x:c r="O129" s="1"/>
      <x:c r="P129" s="1"/>
      <x:c r="Q129" s="1"/>
      <x:c r="R129" s="1"/>
      <x:c r="S129" s="1"/>
      <x:c r="T129" s="1"/>
      <x:c r="U129" s="1"/>
      <x:c r="V129" s="1"/>
      <x:c r="W129" s="1"/>
      <x:c r="X129" s="1"/>
      <x:c r="Y129" s="1"/>
      <x:c r="Z129" s="1"/>
      <x:c r="AA129" s="1"/>
    </x:row>
    <x:row r="130">
      <x:c r="A130" s="1"/>
      <x:c r="B130" s="1"/>
      <x:c r="C130" s="1"/>
      <x:c r="D130" s="1"/>
      <x:c r="E130" s="1"/>
      <x:c r="F130" s="1"/>
      <x:c r="G130" s="1"/>
      <x:c r="H130" s="1"/>
      <x:c r="I130" s="1"/>
      <x:c r="J130" s="1"/>
      <x:c r="K130" s="1"/>
      <x:c r="L130" s="1"/>
      <x:c r="M130" s="1"/>
      <x:c r="N130" s="1"/>
      <x:c r="O130" s="1"/>
      <x:c r="P130" s="1"/>
      <x:c r="Q130" s="1"/>
      <x:c r="R130" s="1"/>
      <x:c r="S130" s="1"/>
      <x:c r="T130" s="1"/>
      <x:c r="U130" s="1"/>
      <x:c r="V130" s="1"/>
      <x:c r="W130" s="1"/>
      <x:c r="X130" s="1"/>
      <x:c r="Y130" s="1"/>
      <x:c r="Z130" s="1"/>
      <x:c r="AA130" s="1"/>
    </x:row>
    <x:row r="131">
      <x:c r="A131" s="1"/>
      <x:c r="B131" s="1"/>
      <x:c r="C131" s="1"/>
      <x:c r="D131" s="1"/>
      <x:c r="E131" s="1"/>
      <x:c r="F131" s="1"/>
      <x:c r="G131" s="1"/>
      <x:c r="H131" s="1"/>
      <x:c r="I131" s="1"/>
      <x:c r="J131" s="1"/>
      <x:c r="K131" s="1"/>
      <x:c r="L131" s="1"/>
      <x:c r="M131" s="1"/>
      <x:c r="N131" s="1"/>
      <x:c r="O131" s="1"/>
      <x:c r="P131" s="1"/>
      <x:c r="Q131" s="1"/>
      <x:c r="R131" s="1"/>
      <x:c r="S131" s="1"/>
      <x:c r="T131" s="1"/>
      <x:c r="U131" s="1"/>
      <x:c r="V131" s="1"/>
      <x:c r="W131" s="1"/>
      <x:c r="X131" s="1"/>
      <x:c r="Y131" s="1"/>
      <x:c r="Z131" s="1"/>
      <x:c r="AA131" s="1"/>
    </x:row>
    <x:row r="132">
      <x:c r="A132" s="1"/>
      <x:c r="B132" s="1"/>
      <x:c r="C132" s="1"/>
      <x:c r="D132" s="1"/>
      <x:c r="E132" s="1"/>
      <x:c r="F132" s="1"/>
      <x:c r="G132" s="1"/>
      <x:c r="H132" s="1"/>
      <x:c r="I132" s="1"/>
      <x:c r="J132" s="1"/>
      <x:c r="K132" s="1"/>
      <x:c r="L132" s="1"/>
      <x:c r="M132" s="1"/>
      <x:c r="N132" s="1"/>
      <x:c r="O132" s="1"/>
      <x:c r="P132" s="1"/>
      <x:c r="Q132" s="1"/>
      <x:c r="R132" s="1"/>
      <x:c r="S132" s="1"/>
      <x:c r="T132" s="1"/>
      <x:c r="U132" s="1"/>
      <x:c r="V132" s="1"/>
      <x:c r="W132" s="1"/>
      <x:c r="X132" s="1"/>
      <x:c r="Y132" s="1"/>
      <x:c r="Z132" s="1"/>
      <x:c r="AA132" s="1"/>
    </x:row>
    <x:row r="133">
      <x:c r="A133" s="1"/>
      <x:c r="B133" s="1"/>
      <x:c r="C133" s="1"/>
      <x:c r="D133" s="1"/>
      <x:c r="E133" s="1"/>
      <x:c r="F133" s="1"/>
      <x:c r="G133" s="1"/>
      <x:c r="H133" s="1"/>
      <x:c r="I133" s="1"/>
      <x:c r="J133" s="1"/>
      <x:c r="K133" s="1"/>
      <x:c r="L133" s="1"/>
      <x:c r="M133" s="1"/>
      <x:c r="N133" s="1"/>
      <x:c r="O133" s="1"/>
      <x:c r="P133" s="1"/>
      <x:c r="Q133" s="1"/>
      <x:c r="R133" s="1"/>
      <x:c r="S133" s="1"/>
      <x:c r="T133" s="1"/>
      <x:c r="U133" s="1"/>
      <x:c r="V133" s="1"/>
      <x:c r="W133" s="1"/>
      <x:c r="X133" s="1"/>
      <x:c r="Y133" s="1"/>
      <x:c r="Z133" s="1"/>
      <x:c r="AA133" s="1"/>
    </x:row>
    <x:row r="134">
      <x:c r="A134" s="1"/>
      <x:c r="B134" s="1"/>
      <x:c r="C134" s="1"/>
      <x:c r="D134" s="1"/>
      <x:c r="E134" s="1"/>
      <x:c r="F134" s="1"/>
      <x:c r="G134" s="1"/>
      <x:c r="H134" s="1"/>
      <x:c r="I134" s="1"/>
      <x:c r="J134" s="1"/>
      <x:c r="K134" s="1"/>
      <x:c r="L134" s="1"/>
      <x:c r="M134" s="1"/>
      <x:c r="N134" s="1"/>
      <x:c r="O134" s="1"/>
      <x:c r="P134" s="1"/>
      <x:c r="Q134" s="1"/>
      <x:c r="R134" s="1"/>
      <x:c r="S134" s="1"/>
      <x:c r="T134" s="1"/>
      <x:c r="U134" s="1"/>
      <x:c r="V134" s="1"/>
      <x:c r="W134" s="1"/>
      <x:c r="X134" s="1"/>
      <x:c r="Y134" s="1"/>
      <x:c r="Z134" s="1"/>
      <x:c r="AA134" s="1"/>
    </x:row>
    <x:row r="135">
      <x:c r="A135" s="1"/>
      <x:c r="B135" s="1"/>
      <x:c r="C135" s="1"/>
      <x:c r="D135" s="1"/>
      <x:c r="E135" s="1"/>
      <x:c r="F135" s="1"/>
      <x:c r="G135" s="1"/>
      <x:c r="H135" s="1"/>
      <x:c r="I135" s="1"/>
      <x:c r="J135" s="1"/>
      <x:c r="K135" s="1"/>
      <x:c r="L135" s="1"/>
      <x:c r="M135" s="1"/>
      <x:c r="N135" s="1"/>
      <x:c r="O135" s="1"/>
      <x:c r="P135" s="1"/>
      <x:c r="Q135" s="1"/>
      <x:c r="R135" s="1"/>
      <x:c r="S135" s="1"/>
      <x:c r="T135" s="1"/>
      <x:c r="U135" s="1"/>
      <x:c r="V135" s="1"/>
      <x:c r="W135" s="1"/>
      <x:c r="X135" s="1"/>
      <x:c r="Y135" s="1"/>
      <x:c r="Z135" s="1"/>
      <x:c r="AA135" s="1"/>
    </x:row>
    <x:row r="136">
      <x:c r="A136" s="1"/>
      <x:c r="B136" s="1"/>
      <x:c r="C136" s="1"/>
      <x:c r="D136" s="1"/>
      <x:c r="E136" s="1"/>
      <x:c r="F136" s="1"/>
      <x:c r="G136" s="1"/>
      <x:c r="H136" s="1"/>
      <x:c r="I136" s="1"/>
      <x:c r="J136" s="1"/>
      <x:c r="K136" s="1"/>
      <x:c r="L136" s="1"/>
      <x:c r="M136" s="1"/>
      <x:c r="N136" s="1"/>
      <x:c r="O136" s="1"/>
      <x:c r="P136" s="1"/>
      <x:c r="Q136" s="1"/>
      <x:c r="R136" s="1"/>
      <x:c r="S136" s="1"/>
      <x:c r="T136" s="1"/>
      <x:c r="U136" s="1"/>
      <x:c r="V136" s="1"/>
      <x:c r="W136" s="1"/>
      <x:c r="X136" s="1"/>
      <x:c r="Y136" s="1"/>
      <x:c r="Z136" s="1"/>
      <x:c r="AA136" s="1"/>
    </x:row>
    <x:row r="137">
      <x:c r="A137" s="1"/>
      <x:c r="B137" s="1"/>
      <x:c r="C137" s="1"/>
      <x:c r="D137" s="1"/>
      <x:c r="E137" s="1"/>
      <x:c r="F137" s="1"/>
      <x:c r="G137" s="1"/>
      <x:c r="H137" s="1"/>
      <x:c r="I137" s="1"/>
      <x:c r="J137" s="1"/>
      <x:c r="K137" s="1"/>
      <x:c r="L137" s="1"/>
      <x:c r="M137" s="1"/>
      <x:c r="N137" s="1"/>
      <x:c r="O137" s="1"/>
      <x:c r="P137" s="1"/>
      <x:c r="Q137" s="1"/>
      <x:c r="R137" s="1"/>
      <x:c r="S137" s="1"/>
      <x:c r="T137" s="1"/>
      <x:c r="U137" s="1"/>
      <x:c r="V137" s="1"/>
      <x:c r="W137" s="1"/>
      <x:c r="X137" s="1"/>
      <x:c r="Y137" s="1"/>
      <x:c r="Z137" s="1"/>
      <x:c r="AA137" s="1"/>
    </x:row>
    <x:row r="138">
      <x:c r="A138" s="1"/>
      <x:c r="B138" s="1"/>
      <x:c r="C138" s="1"/>
      <x:c r="D138" s="1"/>
      <x:c r="E138" s="1"/>
      <x:c r="F138" s="1"/>
      <x:c r="G138" s="1"/>
      <x:c r="H138" s="1"/>
      <x:c r="I138" s="1"/>
      <x:c r="J138" s="1"/>
      <x:c r="K138" s="1"/>
      <x:c r="L138" s="1"/>
      <x:c r="M138" s="1"/>
      <x:c r="N138" s="1"/>
      <x:c r="O138" s="1"/>
      <x:c r="P138" s="1"/>
      <x:c r="Q138" s="1"/>
      <x:c r="R138" s="1"/>
      <x:c r="S138" s="1"/>
      <x:c r="T138" s="1"/>
      <x:c r="U138" s="1"/>
      <x:c r="V138" s="1"/>
      <x:c r="W138" s="1"/>
      <x:c r="X138" s="1"/>
      <x:c r="Y138" s="1"/>
      <x:c r="Z138" s="1"/>
      <x:c r="AA138" s="1"/>
    </x:row>
    <x:row r="139">
      <x:c r="A139" s="1"/>
      <x:c r="B139" s="1"/>
      <x:c r="C139" s="1"/>
      <x:c r="D139" s="1"/>
      <x:c r="E139" s="1"/>
      <x:c r="F139" s="1"/>
      <x:c r="G139" s="1"/>
      <x:c r="H139" s="1"/>
      <x:c r="I139" s="1"/>
      <x:c r="J139" s="1"/>
      <x:c r="K139" s="1"/>
      <x:c r="L139" s="1"/>
      <x:c r="M139" s="1"/>
      <x:c r="N139" s="1"/>
      <x:c r="O139" s="1"/>
      <x:c r="P139" s="1"/>
      <x:c r="Q139" s="1"/>
      <x:c r="R139" s="1"/>
      <x:c r="S139" s="1"/>
      <x:c r="T139" s="1"/>
      <x:c r="U139" s="1"/>
      <x:c r="V139" s="1"/>
      <x:c r="W139" s="1"/>
      <x:c r="X139" s="1"/>
      <x:c r="Y139" s="1"/>
      <x:c r="Z139" s="1"/>
      <x:c r="AA139" s="1"/>
    </x:row>
    <x:row r="140">
      <x:c r="A140" s="1"/>
      <x:c r="B140" s="1"/>
      <x:c r="C140" s="1"/>
      <x:c r="D140" s="1"/>
      <x:c r="E140" s="1"/>
      <x:c r="F140" s="1"/>
      <x:c r="G140" s="1"/>
      <x:c r="H140" s="1"/>
      <x:c r="I140" s="1"/>
      <x:c r="J140" s="1"/>
      <x:c r="K140" s="1"/>
      <x:c r="L140" s="1"/>
      <x:c r="M140" s="1"/>
      <x:c r="N140" s="1"/>
      <x:c r="O140" s="1"/>
      <x:c r="P140" s="1"/>
      <x:c r="Q140" s="1"/>
      <x:c r="R140" s="1"/>
      <x:c r="S140" s="1"/>
      <x:c r="T140" s="1"/>
      <x:c r="U140" s="1"/>
      <x:c r="V140" s="1"/>
      <x:c r="W140" s="1"/>
      <x:c r="X140" s="1"/>
      <x:c r="Y140" s="1"/>
      <x:c r="Z140" s="1"/>
      <x:c r="AA140" s="1"/>
    </x:row>
    <x:row r="141">
      <x:c r="A141" s="1"/>
      <x:c r="B141" s="1"/>
      <x:c r="C141" s="1"/>
      <x:c r="D141" s="1"/>
      <x:c r="E141" s="1"/>
      <x:c r="F141" s="1"/>
      <x:c r="G141" s="1"/>
      <x:c r="H141" s="1"/>
      <x:c r="I141" s="1"/>
      <x:c r="J141" s="1"/>
      <x:c r="K141" s="1"/>
      <x:c r="L141" s="1"/>
      <x:c r="M141" s="1"/>
      <x:c r="N141" s="1"/>
      <x:c r="O141" s="1"/>
      <x:c r="P141" s="1"/>
      <x:c r="Q141" s="1"/>
      <x:c r="R141" s="1"/>
      <x:c r="S141" s="1"/>
      <x:c r="T141" s="1"/>
      <x:c r="U141" s="1"/>
      <x:c r="V141" s="1"/>
      <x:c r="W141" s="1"/>
      <x:c r="X141" s="1"/>
      <x:c r="Y141" s="1"/>
      <x:c r="Z141" s="1"/>
      <x:c r="AA141" s="1"/>
    </x:row>
    <x:row r="142">
      <x:c r="A142" s="1"/>
      <x:c r="B142" s="1"/>
      <x:c r="C142" s="1"/>
      <x:c r="D142" s="1"/>
      <x:c r="E142" s="1"/>
      <x:c r="F142" s="1"/>
      <x:c r="G142" s="1"/>
      <x:c r="H142" s="1"/>
      <x:c r="I142" s="1"/>
      <x:c r="J142" s="1"/>
      <x:c r="K142" s="1"/>
      <x:c r="L142" s="1"/>
      <x:c r="M142" s="1"/>
      <x:c r="N142" s="1"/>
      <x:c r="O142" s="1"/>
      <x:c r="P142" s="1"/>
      <x:c r="Q142" s="1"/>
      <x:c r="R142" s="1"/>
      <x:c r="S142" s="1"/>
      <x:c r="T142" s="1"/>
      <x:c r="U142" s="1"/>
      <x:c r="V142" s="1"/>
      <x:c r="W142" s="1"/>
      <x:c r="X142" s="1"/>
      <x:c r="Y142" s="1"/>
      <x:c r="Z142" s="1"/>
      <x:c r="AA142" s="1"/>
    </x:row>
    <x:row r="143">
      <x:c r="A143" s="1"/>
      <x:c r="B143" s="1"/>
      <x:c r="C143" s="1"/>
      <x:c r="D143" s="1"/>
      <x:c r="E143" s="1"/>
      <x:c r="F143" s="1"/>
      <x:c r="G143" s="1"/>
      <x:c r="H143" s="1"/>
      <x:c r="I143" s="1"/>
      <x:c r="J143" s="1"/>
      <x:c r="K143" s="1"/>
      <x:c r="L143" s="1"/>
      <x:c r="M143" s="1"/>
      <x:c r="N143" s="1"/>
      <x:c r="O143" s="1"/>
      <x:c r="P143" s="1"/>
      <x:c r="Q143" s="1"/>
      <x:c r="R143" s="1"/>
      <x:c r="S143" s="1"/>
      <x:c r="T143" s="1"/>
      <x:c r="U143" s="1"/>
      <x:c r="V143" s="1"/>
      <x:c r="W143" s="1"/>
      <x:c r="X143" s="1"/>
      <x:c r="Y143" s="1"/>
      <x:c r="Z143" s="1"/>
      <x:c r="AA143" s="1"/>
    </x:row>
    <x:row r="144">
      <x:c r="A144" s="1"/>
      <x:c r="B144" s="1"/>
      <x:c r="C144" s="1"/>
      <x:c r="D144" s="1"/>
      <x:c r="E144" s="1"/>
      <x:c r="F144" s="1"/>
      <x:c r="G144" s="1"/>
      <x:c r="H144" s="1"/>
      <x:c r="I144" s="1"/>
      <x:c r="J144" s="1"/>
      <x:c r="K144" s="1"/>
      <x:c r="L144" s="1"/>
      <x:c r="M144" s="1"/>
      <x:c r="N144" s="1"/>
      <x:c r="O144" s="1"/>
      <x:c r="P144" s="1"/>
      <x:c r="Q144" s="1"/>
      <x:c r="R144" s="1"/>
      <x:c r="S144" s="1"/>
      <x:c r="T144" s="1"/>
      <x:c r="U144" s="1"/>
      <x:c r="V144" s="1"/>
      <x:c r="W144" s="1"/>
      <x:c r="X144" s="1"/>
      <x:c r="Y144" s="1"/>
      <x:c r="Z144" s="1"/>
      <x:c r="AA144" s="1"/>
    </x:row>
    <x:row r="145">
      <x:c r="A145" s="1"/>
      <x:c r="B145" s="1"/>
      <x:c r="C145" s="1"/>
      <x:c r="D145" s="1"/>
      <x:c r="E145" s="1"/>
      <x:c r="F145" s="1"/>
      <x:c r="G145" s="1"/>
      <x:c r="H145" s="1"/>
      <x:c r="I145" s="1"/>
      <x:c r="J145" s="1"/>
      <x:c r="K145" s="1"/>
      <x:c r="L145" s="1"/>
      <x:c r="M145" s="1"/>
      <x:c r="N145" s="1"/>
      <x:c r="O145" s="1"/>
      <x:c r="P145" s="1"/>
      <x:c r="Q145" s="1"/>
      <x:c r="R145" s="1"/>
      <x:c r="S145" s="1"/>
      <x:c r="T145" s="1"/>
      <x:c r="U145" s="1"/>
      <x:c r="V145" s="1"/>
      <x:c r="W145" s="1"/>
      <x:c r="X145" s="1"/>
      <x:c r="Y145" s="1"/>
      <x:c r="Z145" s="1"/>
      <x:c r="AA145" s="1"/>
    </x:row>
    <x:row r="146">
      <x:c r="A146" s="1"/>
      <x:c r="B146" s="1"/>
      <x:c r="C146" s="1"/>
      <x:c r="D146" s="1"/>
      <x:c r="E146" s="1"/>
      <x:c r="F146" s="1"/>
      <x:c r="G146" s="1"/>
      <x:c r="H146" s="1"/>
      <x:c r="I146" s="1"/>
      <x:c r="J146" s="1"/>
      <x:c r="K146" s="1"/>
      <x:c r="L146" s="1"/>
      <x:c r="M146" s="1"/>
      <x:c r="N146" s="1"/>
      <x:c r="O146" s="1"/>
      <x:c r="P146" s="1"/>
      <x:c r="Q146" s="1"/>
      <x:c r="R146" s="1"/>
      <x:c r="S146" s="1"/>
      <x:c r="T146" s="1"/>
      <x:c r="U146" s="1"/>
      <x:c r="V146" s="1"/>
      <x:c r="W146" s="1"/>
      <x:c r="X146" s="1"/>
      <x:c r="Y146" s="1"/>
      <x:c r="Z146" s="1"/>
      <x:c r="AA146" s="1"/>
    </x:row>
    <x:row r="147">
      <x:c r="A147" s="1"/>
      <x:c r="B147" s="1"/>
      <x:c r="C147" s="1"/>
      <x:c r="D147" s="1"/>
      <x:c r="E147" s="1"/>
      <x:c r="F147" s="1"/>
      <x:c r="G147" s="1"/>
      <x:c r="H147" s="1"/>
      <x:c r="I147" s="1"/>
      <x:c r="J147" s="1"/>
      <x:c r="K147" s="1"/>
      <x:c r="L147" s="1"/>
      <x:c r="M147" s="1"/>
      <x:c r="N147" s="1"/>
      <x:c r="O147" s="1"/>
      <x:c r="P147" s="1"/>
      <x:c r="Q147" s="1"/>
      <x:c r="R147" s="1"/>
      <x:c r="S147" s="1"/>
      <x:c r="T147" s="1"/>
      <x:c r="U147" s="1"/>
      <x:c r="V147" s="1"/>
      <x:c r="W147" s="1"/>
      <x:c r="X147" s="1"/>
      <x:c r="Y147" s="1"/>
      <x:c r="Z147" s="1"/>
      <x:c r="AA147" s="1"/>
    </x:row>
    <x:row r="148">
      <x:c r="A148" s="1"/>
      <x:c r="B148" s="1"/>
      <x:c r="C148" s="1"/>
      <x:c r="D148" s="1"/>
      <x:c r="E148" s="1"/>
      <x:c r="F148" s="1"/>
      <x:c r="G148" s="1"/>
      <x:c r="H148" s="1"/>
      <x:c r="I148" s="1"/>
      <x:c r="J148" s="1"/>
      <x:c r="K148" s="1"/>
      <x:c r="L148" s="1"/>
      <x:c r="M148" s="1"/>
      <x:c r="N148" s="1"/>
      <x:c r="O148" s="1"/>
      <x:c r="P148" s="1"/>
      <x:c r="Q148" s="1"/>
      <x:c r="R148" s="1"/>
      <x:c r="S148" s="1"/>
      <x:c r="T148" s="1"/>
      <x:c r="U148" s="1"/>
      <x:c r="V148" s="1"/>
      <x:c r="W148" s="1"/>
      <x:c r="X148" s="1"/>
      <x:c r="Y148" s="1"/>
      <x:c r="Z148" s="1"/>
      <x:c r="AA148" s="1"/>
    </x:row>
    <x:row r="149">
      <x:c r="A149" s="1"/>
      <x:c r="B149" s="1"/>
      <x:c r="C149" s="1"/>
      <x:c r="D149" s="1"/>
      <x:c r="E149" s="1"/>
      <x:c r="F149" s="1"/>
      <x:c r="G149" s="1"/>
      <x:c r="H149" s="1"/>
      <x:c r="I149" s="1"/>
      <x:c r="J149" s="1"/>
      <x:c r="K149" s="1"/>
      <x:c r="L149" s="1"/>
      <x:c r="M149" s="1"/>
      <x:c r="N149" s="1"/>
      <x:c r="O149" s="1"/>
      <x:c r="P149" s="1"/>
      <x:c r="Q149" s="1"/>
      <x:c r="R149" s="1"/>
      <x:c r="S149" s="1"/>
      <x:c r="T149" s="1"/>
      <x:c r="U149" s="1"/>
      <x:c r="V149" s="1"/>
      <x:c r="W149" s="1"/>
      <x:c r="X149" s="1"/>
      <x:c r="Y149" s="1"/>
      <x:c r="Z149" s="1"/>
      <x:c r="AA149" s="1"/>
    </x:row>
    <x:row r="150">
      <x:c r="A150" s="1"/>
      <x:c r="B150" s="1"/>
      <x:c r="C150" s="1"/>
      <x:c r="D150" s="1"/>
      <x:c r="E150" s="1"/>
      <x:c r="F150" s="1"/>
      <x:c r="G150" s="1"/>
      <x:c r="H150" s="1"/>
      <x:c r="I150" s="1"/>
      <x:c r="J150" s="1"/>
      <x:c r="K150" s="1"/>
      <x:c r="L150" s="1"/>
      <x:c r="M150" s="1"/>
      <x:c r="N150" s="1"/>
      <x:c r="O150" s="1"/>
      <x:c r="P150" s="1"/>
      <x:c r="Q150" s="1"/>
      <x:c r="R150" s="1"/>
      <x:c r="S150" s="1"/>
      <x:c r="T150" s="1"/>
      <x:c r="U150" s="1"/>
      <x:c r="V150" s="1"/>
      <x:c r="W150" s="1"/>
      <x:c r="X150" s="1"/>
      <x:c r="Y150" s="1"/>
      <x:c r="Z150" s="1"/>
      <x:c r="AA150" s="1"/>
    </x:row>
    <x:row r="151">
      <x:c r="A151" s="1"/>
      <x:c r="B151" s="1"/>
      <x:c r="C151" s="1"/>
      <x:c r="D151" s="1"/>
      <x:c r="E151" s="1"/>
      <x:c r="F151" s="1"/>
      <x:c r="G151" s="1"/>
      <x:c r="H151" s="1"/>
      <x:c r="I151" s="1"/>
      <x:c r="J151" s="1"/>
      <x:c r="K151" s="1"/>
      <x:c r="L151" s="1"/>
      <x:c r="M151" s="1"/>
      <x:c r="N151" s="1"/>
      <x:c r="O151" s="1"/>
      <x:c r="P151" s="1"/>
      <x:c r="Q151" s="1"/>
      <x:c r="R151" s="1"/>
      <x:c r="S151" s="1"/>
      <x:c r="T151" s="1"/>
      <x:c r="U151" s="1"/>
      <x:c r="V151" s="1"/>
      <x:c r="W151" s="1"/>
      <x:c r="X151" s="1"/>
      <x:c r="Y151" s="1"/>
      <x:c r="Z151" s="1"/>
      <x:c r="AA151" s="1"/>
    </x:row>
    <x:row r="152">
      <x:c r="A152" s="1"/>
      <x:c r="B152" s="1"/>
      <x:c r="C152" s="1"/>
      <x:c r="D152" s="1"/>
      <x:c r="E152" s="1"/>
      <x:c r="F152" s="1"/>
      <x:c r="G152" s="1"/>
      <x:c r="H152" s="1"/>
      <x:c r="I152" s="1"/>
      <x:c r="J152" s="1"/>
      <x:c r="K152" s="1"/>
      <x:c r="L152" s="1"/>
      <x:c r="M152" s="1"/>
      <x:c r="N152" s="1"/>
      <x:c r="O152" s="1"/>
      <x:c r="P152" s="1"/>
      <x:c r="Q152" s="1"/>
      <x:c r="R152" s="1"/>
      <x:c r="S152" s="1"/>
      <x:c r="T152" s="1"/>
      <x:c r="U152" s="1"/>
      <x:c r="V152" s="1"/>
      <x:c r="W152" s="1"/>
      <x:c r="X152" s="1"/>
      <x:c r="Y152" s="1"/>
      <x:c r="Z152" s="1"/>
      <x:c r="AA152" s="1"/>
    </x:row>
    <x:row r="153">
      <x:c r="A153" s="1"/>
      <x:c r="B153" s="1"/>
      <x:c r="C153" s="1"/>
      <x:c r="D153" s="1"/>
      <x:c r="E153" s="1"/>
      <x:c r="F153" s="1"/>
      <x:c r="G153" s="1"/>
      <x:c r="H153" s="1"/>
      <x:c r="I153" s="1"/>
      <x:c r="J153" s="1"/>
      <x:c r="K153" s="1"/>
      <x:c r="L153" s="1"/>
      <x:c r="M153" s="1"/>
      <x:c r="N153" s="1"/>
      <x:c r="O153" s="1"/>
      <x:c r="P153" s="1"/>
      <x:c r="Q153" s="1"/>
      <x:c r="R153" s="1"/>
      <x:c r="S153" s="1"/>
      <x:c r="T153" s="1"/>
      <x:c r="U153" s="1"/>
      <x:c r="V153" s="1"/>
      <x:c r="W153" s="1"/>
      <x:c r="X153" s="1"/>
      <x:c r="Y153" s="1"/>
      <x:c r="Z153" s="1"/>
      <x:c r="AA153" s="1"/>
    </x:row>
    <x:row r="154">
      <x:c r="A154" s="1"/>
      <x:c r="B154" s="1"/>
      <x:c r="C154" s="1"/>
      <x:c r="D154" s="1"/>
      <x:c r="E154" s="1"/>
      <x:c r="F154" s="1"/>
      <x:c r="G154" s="1"/>
      <x:c r="H154" s="1"/>
      <x:c r="I154" s="1"/>
      <x:c r="J154" s="1"/>
      <x:c r="K154" s="1"/>
      <x:c r="L154" s="1"/>
      <x:c r="M154" s="1"/>
      <x:c r="N154" s="1"/>
      <x:c r="O154" s="1"/>
      <x:c r="P154" s="1"/>
      <x:c r="Q154" s="1"/>
      <x:c r="R154" s="1"/>
      <x:c r="S154" s="1"/>
      <x:c r="T154" s="1"/>
      <x:c r="U154" s="1"/>
      <x:c r="V154" s="1"/>
      <x:c r="W154" s="1"/>
      <x:c r="X154" s="1"/>
      <x:c r="Y154" s="1"/>
      <x:c r="Z154" s="1"/>
      <x:c r="AA154" s="1"/>
    </x:row>
    <x:row r="155">
      <x:c r="A155" s="1"/>
      <x:c r="B155" s="1"/>
      <x:c r="C155" s="1"/>
      <x:c r="D155" s="1"/>
      <x:c r="E155" s="1"/>
      <x:c r="F155" s="1"/>
      <x:c r="G155" s="1"/>
      <x:c r="H155" s="1"/>
      <x:c r="I155" s="1"/>
      <x:c r="J155" s="1"/>
      <x:c r="K155" s="1"/>
      <x:c r="L155" s="1"/>
      <x:c r="M155" s="1"/>
      <x:c r="N155" s="1"/>
      <x:c r="O155" s="1"/>
      <x:c r="P155" s="1"/>
      <x:c r="Q155" s="1"/>
      <x:c r="R155" s="1"/>
      <x:c r="S155" s="1"/>
      <x:c r="T155" s="1"/>
      <x:c r="U155" s="1"/>
      <x:c r="V155" s="1"/>
      <x:c r="W155" s="1"/>
      <x:c r="X155" s="1"/>
      <x:c r="Y155" s="1"/>
      <x:c r="Z155" s="1"/>
      <x:c r="AA155" s="1"/>
    </x:row>
    <x:row r="156">
      <x:c r="A156" s="1"/>
      <x:c r="B156" s="1"/>
      <x:c r="C156" s="1"/>
      <x:c r="D156" s="1"/>
      <x:c r="E156" s="1"/>
      <x:c r="F156" s="1"/>
      <x:c r="G156" s="1"/>
      <x:c r="H156" s="1"/>
      <x:c r="I156" s="1"/>
      <x:c r="J156" s="1"/>
      <x:c r="K156" s="1"/>
      <x:c r="L156" s="1"/>
      <x:c r="M156" s="1"/>
      <x:c r="N156" s="1"/>
      <x:c r="O156" s="1"/>
      <x:c r="P156" s="1"/>
      <x:c r="Q156" s="1"/>
      <x:c r="R156" s="1"/>
      <x:c r="S156" s="1"/>
      <x:c r="T156" s="1"/>
      <x:c r="U156" s="1"/>
      <x:c r="V156" s="1"/>
      <x:c r="W156" s="1"/>
      <x:c r="X156" s="1"/>
      <x:c r="Y156" s="1"/>
      <x:c r="Z156" s="1"/>
      <x:c r="AA156" s="1"/>
    </x:row>
    <x:row r="157">
      <x:c r="A157" s="1"/>
      <x:c r="B157" s="1"/>
      <x:c r="C157" s="1"/>
      <x:c r="D157" s="1"/>
      <x:c r="E157" s="1"/>
      <x:c r="F157" s="1"/>
      <x:c r="G157" s="1"/>
      <x:c r="H157" s="1"/>
      <x:c r="I157" s="1"/>
      <x:c r="J157" s="1"/>
      <x:c r="K157" s="1"/>
      <x:c r="L157" s="1"/>
      <x:c r="M157" s="1"/>
      <x:c r="N157" s="1"/>
      <x:c r="O157" s="1"/>
      <x:c r="P157" s="1"/>
      <x:c r="Q157" s="1"/>
      <x:c r="R157" s="1"/>
      <x:c r="S157" s="1"/>
      <x:c r="T157" s="1"/>
      <x:c r="U157" s="1"/>
      <x:c r="V157" s="1"/>
      <x:c r="W157" s="1"/>
      <x:c r="X157" s="1"/>
      <x:c r="Y157" s="1"/>
      <x:c r="Z157" s="1"/>
      <x:c r="AA157" s="1"/>
    </x:row>
    <x:row r="158">
      <x:c r="A158" s="1"/>
      <x:c r="B158" s="1"/>
      <x:c r="C158" s="1"/>
      <x:c r="D158" s="1"/>
      <x:c r="E158" s="1"/>
      <x:c r="F158" s="1"/>
      <x:c r="G158" s="1"/>
      <x:c r="H158" s="1"/>
      <x:c r="I158" s="1"/>
      <x:c r="J158" s="1"/>
      <x:c r="K158" s="1"/>
      <x:c r="L158" s="1"/>
      <x:c r="M158" s="1"/>
      <x:c r="N158" s="1"/>
      <x:c r="O158" s="1"/>
      <x:c r="P158" s="1"/>
      <x:c r="Q158" s="1"/>
      <x:c r="R158" s="1"/>
      <x:c r="S158" s="1"/>
      <x:c r="T158" s="1"/>
      <x:c r="U158" s="1"/>
      <x:c r="V158" s="1"/>
      <x:c r="W158" s="1"/>
      <x:c r="X158" s="1"/>
      <x:c r="Y158" s="1"/>
      <x:c r="Z158" s="1"/>
      <x:c r="AA158" s="1"/>
    </x:row>
    <x:row r="159">
      <x:c r="A159" s="1"/>
      <x:c r="B159" s="1"/>
      <x:c r="C159" s="1"/>
      <x:c r="D159" s="1"/>
      <x:c r="E159" s="1"/>
      <x:c r="F159" s="1"/>
      <x:c r="G159" s="1"/>
      <x:c r="H159" s="1"/>
      <x:c r="I159" s="1"/>
      <x:c r="J159" s="1"/>
      <x:c r="K159" s="1"/>
      <x:c r="L159" s="1"/>
      <x:c r="M159" s="1"/>
      <x:c r="N159" s="1"/>
      <x:c r="O159" s="1"/>
      <x:c r="P159" s="1"/>
      <x:c r="Q159" s="1"/>
      <x:c r="R159" s="1"/>
      <x:c r="S159" s="1"/>
      <x:c r="T159" s="1"/>
      <x:c r="U159" s="1"/>
      <x:c r="V159" s="1"/>
      <x:c r="W159" s="1"/>
      <x:c r="X159" s="1"/>
      <x:c r="Y159" s="1"/>
      <x:c r="Z159" s="1"/>
      <x:c r="AA159" s="1"/>
    </x:row>
    <x:row r="160">
      <x:c r="A160" s="1"/>
      <x:c r="B160" s="1"/>
      <x:c r="C160" s="1"/>
      <x:c r="D160" s="1"/>
      <x:c r="E160" s="1"/>
      <x:c r="F160" s="1"/>
      <x:c r="G160" s="1"/>
      <x:c r="H160" s="1"/>
      <x:c r="I160" s="1"/>
      <x:c r="J160" s="1"/>
      <x:c r="K160" s="1"/>
      <x:c r="L160" s="1"/>
      <x:c r="M160" s="1"/>
      <x:c r="N160" s="1"/>
      <x:c r="O160" s="1"/>
      <x:c r="P160" s="1"/>
      <x:c r="Q160" s="1"/>
      <x:c r="R160" s="1"/>
      <x:c r="S160" s="1"/>
      <x:c r="T160" s="1"/>
      <x:c r="U160" s="1"/>
      <x:c r="V160" s="1"/>
      <x:c r="W160" s="1"/>
      <x:c r="X160" s="1"/>
      <x:c r="Y160" s="1"/>
      <x:c r="Z160" s="1"/>
      <x:c r="AA160" s="1"/>
    </x:row>
    <x:row r="161">
      <x:c r="A161" s="1"/>
      <x:c r="B161" s="1"/>
      <x:c r="C161" s="1"/>
      <x:c r="D161" s="1"/>
      <x:c r="E161" s="1"/>
      <x:c r="F161" s="1"/>
      <x:c r="G161" s="1"/>
      <x:c r="H161" s="1"/>
      <x:c r="I161" s="1"/>
      <x:c r="J161" s="1"/>
      <x:c r="K161" s="1"/>
      <x:c r="L161" s="1"/>
      <x:c r="M161" s="1"/>
      <x:c r="N161" s="1"/>
      <x:c r="O161" s="1"/>
      <x:c r="P161" s="1"/>
      <x:c r="Q161" s="1"/>
      <x:c r="R161" s="1"/>
      <x:c r="S161" s="1"/>
      <x:c r="T161" s="1"/>
      <x:c r="U161" s="1"/>
      <x:c r="V161" s="1"/>
      <x:c r="W161" s="1"/>
      <x:c r="X161" s="1"/>
      <x:c r="Y161" s="1"/>
      <x:c r="Z161" s="1"/>
      <x:c r="AA161" s="1"/>
    </x:row>
    <x:row r="162">
      <x:c r="A162" s="1"/>
      <x:c r="B162" s="1"/>
      <x:c r="C162" s="1"/>
      <x:c r="D162" s="1"/>
      <x:c r="E162" s="1"/>
      <x:c r="F162" s="1"/>
      <x:c r="G162" s="1"/>
      <x:c r="H162" s="1"/>
      <x:c r="I162" s="1"/>
      <x:c r="J162" s="1"/>
      <x:c r="K162" s="1"/>
      <x:c r="L162" s="1"/>
      <x:c r="M162" s="1"/>
      <x:c r="N162" s="1"/>
      <x:c r="O162" s="1"/>
      <x:c r="P162" s="1"/>
      <x:c r="Q162" s="1"/>
      <x:c r="R162" s="1"/>
      <x:c r="S162" s="1"/>
      <x:c r="T162" s="1"/>
      <x:c r="U162" s="1"/>
      <x:c r="V162" s="1"/>
      <x:c r="W162" s="1"/>
      <x:c r="X162" s="1"/>
      <x:c r="Y162" s="1"/>
      <x:c r="Z162" s="1"/>
      <x:c r="AA162" s="1"/>
    </x:row>
    <x:row r="163">
      <x:c r="A163" s="1"/>
      <x:c r="B163" s="1"/>
      <x:c r="C163" s="1"/>
      <x:c r="D163" s="1"/>
      <x:c r="E163" s="1"/>
      <x:c r="F163" s="1"/>
      <x:c r="G163" s="1"/>
      <x:c r="H163" s="1"/>
      <x:c r="I163" s="1"/>
      <x:c r="J163" s="1"/>
      <x:c r="K163" s="1"/>
      <x:c r="L163" s="1"/>
      <x:c r="M163" s="1"/>
      <x:c r="N163" s="1"/>
      <x:c r="O163" s="1"/>
      <x:c r="P163" s="1"/>
      <x:c r="Q163" s="1"/>
      <x:c r="R163" s="1"/>
      <x:c r="S163" s="1"/>
      <x:c r="T163" s="1"/>
      <x:c r="U163" s="1"/>
      <x:c r="V163" s="1"/>
      <x:c r="W163" s="1"/>
      <x:c r="X163" s="1"/>
      <x:c r="Y163" s="1"/>
      <x:c r="Z163" s="1"/>
      <x:c r="AA163" s="1"/>
    </x:row>
    <x:row r="164">
      <x:c r="A164" s="1"/>
      <x:c r="B164" s="1"/>
      <x:c r="C164" s="1"/>
      <x:c r="D164" s="1"/>
      <x:c r="E164" s="1"/>
      <x:c r="F164" s="1"/>
      <x:c r="G164" s="1"/>
      <x:c r="H164" s="1"/>
      <x:c r="I164" s="1"/>
      <x:c r="J164" s="1"/>
      <x:c r="K164" s="1"/>
      <x:c r="L164" s="1"/>
      <x:c r="M164" s="1"/>
      <x:c r="N164" s="1"/>
      <x:c r="O164" s="1"/>
      <x:c r="P164" s="1"/>
      <x:c r="Q164" s="1"/>
      <x:c r="R164" s="1"/>
      <x:c r="S164" s="1"/>
      <x:c r="T164" s="1"/>
      <x:c r="U164" s="1"/>
      <x:c r="V164" s="1"/>
      <x:c r="W164" s="1"/>
      <x:c r="X164" s="1"/>
      <x:c r="Y164" s="1"/>
      <x:c r="Z164" s="1"/>
      <x:c r="AA164" s="1"/>
    </x:row>
    <x:row r="165">
      <x:c r="A165" s="1"/>
      <x:c r="B165" s="1"/>
      <x:c r="C165" s="1"/>
      <x:c r="D165" s="1"/>
      <x:c r="E165" s="1"/>
      <x:c r="F165" s="1"/>
      <x:c r="G165" s="1"/>
      <x:c r="H165" s="1"/>
      <x:c r="I165" s="1"/>
      <x:c r="J165" s="1"/>
      <x:c r="K165" s="1"/>
      <x:c r="L165" s="1"/>
      <x:c r="M165" s="1"/>
      <x:c r="N165" s="1"/>
      <x:c r="O165" s="1"/>
      <x:c r="P165" s="1"/>
      <x:c r="Q165" s="1"/>
      <x:c r="R165" s="1"/>
      <x:c r="S165" s="1"/>
      <x:c r="T165" s="1"/>
      <x:c r="U165" s="1"/>
      <x:c r="V165" s="1"/>
      <x:c r="W165" s="1"/>
      <x:c r="X165" s="1"/>
      <x:c r="Y165" s="1"/>
      <x:c r="Z165" s="1"/>
      <x:c r="AA165" s="1"/>
    </x:row>
    <x:row r="166">
      <x:c r="A166" s="1"/>
      <x:c r="B166" s="1"/>
      <x:c r="C166" s="1"/>
      <x:c r="D166" s="1"/>
      <x:c r="E166" s="1"/>
      <x:c r="F166" s="1"/>
      <x:c r="G166" s="1"/>
      <x:c r="H166" s="1"/>
      <x:c r="I166" s="1"/>
      <x:c r="J166" s="1"/>
      <x:c r="K166" s="1"/>
      <x:c r="L166" s="1"/>
      <x:c r="M166" s="1"/>
      <x:c r="N166" s="1"/>
      <x:c r="O166" s="1"/>
      <x:c r="P166" s="1"/>
      <x:c r="Q166" s="1"/>
      <x:c r="R166" s="1"/>
      <x:c r="S166" s="1"/>
      <x:c r="T166" s="1"/>
      <x:c r="U166" s="1"/>
      <x:c r="V166" s="1"/>
      <x:c r="W166" s="1"/>
      <x:c r="X166" s="1"/>
      <x:c r="Y166" s="1"/>
      <x:c r="Z166" s="1"/>
      <x:c r="AA166" s="1"/>
    </x:row>
    <x:row r="167">
      <x:c r="A167" s="1"/>
      <x:c r="B167" s="1"/>
      <x:c r="C167" s="1"/>
      <x:c r="D167" s="1"/>
      <x:c r="E167" s="1"/>
      <x:c r="F167" s="1"/>
      <x:c r="G167" s="1"/>
      <x:c r="H167" s="1"/>
      <x:c r="I167" s="1"/>
      <x:c r="J167" s="1"/>
      <x:c r="K167" s="1"/>
      <x:c r="L167" s="1"/>
      <x:c r="M167" s="1"/>
      <x:c r="N167" s="1"/>
      <x:c r="O167" s="1"/>
      <x:c r="P167" s="1"/>
      <x:c r="Q167" s="1"/>
      <x:c r="R167" s="1"/>
      <x:c r="S167" s="1"/>
      <x:c r="T167" s="1"/>
      <x:c r="U167" s="1"/>
      <x:c r="V167" s="1"/>
      <x:c r="W167" s="1"/>
      <x:c r="X167" s="1"/>
      <x:c r="Y167" s="1"/>
      <x:c r="Z167" s="1"/>
      <x:c r="AA167" s="1"/>
    </x:row>
    <x:row r="168">
      <x:c r="A168" s="1"/>
      <x:c r="B168" s="1"/>
      <x:c r="C168" s="1"/>
      <x:c r="D168" s="1"/>
      <x:c r="E168" s="1"/>
      <x:c r="F168" s="1"/>
      <x:c r="G168" s="1"/>
      <x:c r="H168" s="1"/>
      <x:c r="I168" s="1"/>
      <x:c r="J168" s="1"/>
      <x:c r="K168" s="1"/>
      <x:c r="L168" s="1"/>
      <x:c r="M168" s="1"/>
      <x:c r="N168" s="1"/>
      <x:c r="O168" s="1"/>
      <x:c r="P168" s="1"/>
      <x:c r="Q168" s="1"/>
      <x:c r="R168" s="1"/>
      <x:c r="S168" s="1"/>
      <x:c r="T168" s="1"/>
      <x:c r="U168" s="1"/>
      <x:c r="V168" s="1"/>
      <x:c r="W168" s="1"/>
      <x:c r="X168" s="1"/>
      <x:c r="Y168" s="1"/>
      <x:c r="Z168" s="1"/>
      <x:c r="AA168" s="1"/>
    </x:row>
    <x:row r="169">
      <x:c r="A169" s="1"/>
      <x:c r="B169" s="1"/>
      <x:c r="C169" s="1"/>
      <x:c r="D169" s="1"/>
      <x:c r="E169" s="1"/>
      <x:c r="F169" s="1"/>
      <x:c r="G169" s="1"/>
      <x:c r="H169" s="1"/>
      <x:c r="I169" s="1"/>
      <x:c r="J169" s="1"/>
      <x:c r="K169" s="1"/>
      <x:c r="L169" s="1"/>
      <x:c r="M169" s="1"/>
      <x:c r="N169" s="1"/>
      <x:c r="O169" s="1"/>
      <x:c r="P169" s="1"/>
      <x:c r="Q169" s="1"/>
      <x:c r="R169" s="1"/>
      <x:c r="S169" s="1"/>
      <x:c r="T169" s="1"/>
      <x:c r="U169" s="1"/>
      <x:c r="V169" s="1"/>
      <x:c r="W169" s="1"/>
      <x:c r="X169" s="1"/>
      <x:c r="Y169" s="1"/>
      <x:c r="Z169" s="1"/>
      <x:c r="AA169" s="1"/>
    </x:row>
    <x:row r="170">
      <x:c r="A170" s="1"/>
      <x:c r="B170" s="1"/>
      <x:c r="C170" s="1"/>
      <x:c r="D170" s="1"/>
      <x:c r="E170" s="1"/>
      <x:c r="F170" s="1"/>
      <x:c r="G170" s="1"/>
      <x:c r="H170" s="1"/>
      <x:c r="I170" s="1"/>
      <x:c r="J170" s="1"/>
      <x:c r="K170" s="1"/>
      <x:c r="L170" s="1"/>
      <x:c r="M170" s="1"/>
      <x:c r="N170" s="1"/>
      <x:c r="O170" s="1"/>
      <x:c r="P170" s="1"/>
      <x:c r="Q170" s="1"/>
      <x:c r="R170" s="1"/>
      <x:c r="S170" s="1"/>
      <x:c r="T170" s="1"/>
      <x:c r="U170" s="1"/>
      <x:c r="V170" s="1"/>
      <x:c r="W170" s="1"/>
      <x:c r="X170" s="1"/>
      <x:c r="Y170" s="1"/>
      <x:c r="Z170" s="1"/>
      <x:c r="AA170" s="1"/>
    </x:row>
    <x:row r="171">
      <x:c r="A171" s="1"/>
      <x:c r="B171" s="1"/>
      <x:c r="C171" s="1"/>
      <x:c r="D171" s="1"/>
      <x:c r="E171" s="1"/>
      <x:c r="F171" s="1"/>
      <x:c r="G171" s="1"/>
      <x:c r="H171" s="1"/>
      <x:c r="I171" s="1"/>
      <x:c r="J171" s="1"/>
      <x:c r="K171" s="1"/>
      <x:c r="L171" s="1"/>
      <x:c r="M171" s="1"/>
      <x:c r="N171" s="1"/>
      <x:c r="O171" s="1"/>
      <x:c r="P171" s="1"/>
      <x:c r="Q171" s="1"/>
      <x:c r="R171" s="1"/>
      <x:c r="S171" s="1"/>
      <x:c r="T171" s="1"/>
      <x:c r="U171" s="1"/>
      <x:c r="V171" s="1"/>
      <x:c r="W171" s="1"/>
      <x:c r="X171" s="1"/>
      <x:c r="Y171" s="1"/>
      <x:c r="Z171" s="1"/>
      <x:c r="AA171" s="1"/>
    </x:row>
    <x:row r="172">
      <x:c r="A172" s="1"/>
      <x:c r="B172" s="1"/>
      <x:c r="C172" s="1"/>
      <x:c r="D172" s="1"/>
      <x:c r="E172" s="1"/>
      <x:c r="F172" s="1"/>
      <x:c r="G172" s="1"/>
      <x:c r="H172" s="1"/>
      <x:c r="I172" s="1"/>
      <x:c r="J172" s="1"/>
      <x:c r="K172" s="1"/>
      <x:c r="L172" s="1"/>
      <x:c r="M172" s="1"/>
      <x:c r="N172" s="1"/>
      <x:c r="O172" s="1"/>
      <x:c r="P172" s="1"/>
      <x:c r="Q172" s="1"/>
      <x:c r="R172" s="1"/>
      <x:c r="S172" s="1"/>
      <x:c r="T172" s="1"/>
      <x:c r="U172" s="1"/>
      <x:c r="V172" s="1"/>
      <x:c r="W172" s="1"/>
      <x:c r="X172" s="1"/>
      <x:c r="Y172" s="1"/>
      <x:c r="Z172" s="1"/>
      <x:c r="AA172" s="1"/>
    </x:row>
    <x:row r="173">
      <x:c r="A173" s="1"/>
      <x:c r="B173" s="1"/>
      <x:c r="C173" s="1"/>
      <x:c r="D173" s="1"/>
      <x:c r="E173" s="1"/>
      <x:c r="F173" s="1"/>
      <x:c r="G173" s="1"/>
      <x:c r="H173" s="1"/>
      <x:c r="I173" s="1"/>
      <x:c r="J173" s="1"/>
      <x:c r="K173" s="1"/>
      <x:c r="L173" s="1"/>
      <x:c r="M173" s="1"/>
      <x:c r="N173" s="1"/>
      <x:c r="O173" s="1"/>
      <x:c r="P173" s="1"/>
      <x:c r="Q173" s="1"/>
      <x:c r="R173" s="1"/>
      <x:c r="S173" s="1"/>
      <x:c r="T173" s="1"/>
      <x:c r="U173" s="1"/>
      <x:c r="V173" s="1"/>
      <x:c r="W173" s="1"/>
      <x:c r="X173" s="1"/>
      <x:c r="Y173" s="1"/>
      <x:c r="Z173" s="1"/>
      <x:c r="AA173" s="1"/>
    </x:row>
    <x:row r="174">
      <x:c r="A174" s="1"/>
      <x:c r="B174" s="1"/>
      <x:c r="C174" s="1"/>
      <x:c r="D174" s="1"/>
      <x:c r="E174" s="1"/>
      <x:c r="F174" s="1"/>
      <x:c r="G174" s="1"/>
      <x:c r="H174" s="1"/>
      <x:c r="I174" s="1"/>
      <x:c r="J174" s="1"/>
      <x:c r="K174" s="1"/>
      <x:c r="L174" s="1"/>
      <x:c r="M174" s="1"/>
      <x:c r="N174" s="1"/>
      <x:c r="O174" s="1"/>
      <x:c r="P174" s="1"/>
      <x:c r="Q174" s="1"/>
      <x:c r="R174" s="1"/>
      <x:c r="S174" s="1"/>
      <x:c r="T174" s="1"/>
      <x:c r="U174" s="1"/>
      <x:c r="V174" s="1"/>
      <x:c r="W174" s="1"/>
      <x:c r="X174" s="1"/>
      <x:c r="Y174" s="1"/>
      <x:c r="Z174" s="1"/>
      <x:c r="AA174" s="1"/>
    </x:row>
    <x:row r="175">
      <x:c r="A175" s="1"/>
      <x:c r="B175" s="1"/>
      <x:c r="C175" s="1"/>
      <x:c r="D175" s="1"/>
      <x:c r="E175" s="1"/>
      <x:c r="F175" s="1"/>
      <x:c r="G175" s="1"/>
      <x:c r="H175" s="1"/>
      <x:c r="I175" s="1"/>
      <x:c r="J175" s="1"/>
      <x:c r="K175" s="1"/>
      <x:c r="L175" s="1"/>
      <x:c r="M175" s="1"/>
      <x:c r="N175" s="1"/>
      <x:c r="O175" s="1"/>
      <x:c r="P175" s="1"/>
      <x:c r="Q175" s="1"/>
      <x:c r="R175" s="1"/>
      <x:c r="S175" s="1"/>
      <x:c r="T175" s="1"/>
      <x:c r="U175" s="1"/>
      <x:c r="V175" s="1"/>
      <x:c r="W175" s="1"/>
      <x:c r="X175" s="1"/>
      <x:c r="Y175" s="1"/>
      <x:c r="Z175" s="1"/>
      <x:c r="AA175" s="1"/>
    </x:row>
    <x:row r="176">
      <x:c r="A176" s="1"/>
      <x:c r="B176" s="1"/>
      <x:c r="C176" s="1"/>
      <x:c r="D176" s="1"/>
      <x:c r="E176" s="1"/>
      <x:c r="F176" s="1"/>
      <x:c r="G176" s="1"/>
      <x:c r="H176" s="1"/>
      <x:c r="I176" s="1"/>
      <x:c r="J176" s="1"/>
      <x:c r="K176" s="1"/>
      <x:c r="L176" s="1"/>
      <x:c r="M176" s="1"/>
      <x:c r="N176" s="1"/>
      <x:c r="O176" s="1"/>
      <x:c r="P176" s="1"/>
      <x:c r="Q176" s="1"/>
      <x:c r="R176" s="1"/>
      <x:c r="S176" s="1"/>
      <x:c r="T176" s="1"/>
      <x:c r="U176" s="1"/>
      <x:c r="V176" s="1"/>
      <x:c r="W176" s="1"/>
      <x:c r="X176" s="1"/>
      <x:c r="Y176" s="1"/>
      <x:c r="Z176" s="1"/>
      <x:c r="AA176" s="1"/>
    </x:row>
    <x:row r="177">
      <x:c r="A177" s="1"/>
      <x:c r="B177" s="1"/>
      <x:c r="C177" s="1"/>
      <x:c r="D177" s="1"/>
      <x:c r="E177" s="1"/>
      <x:c r="F177" s="1"/>
      <x:c r="G177" s="1"/>
      <x:c r="H177" s="1"/>
      <x:c r="I177" s="1"/>
      <x:c r="J177" s="1"/>
      <x:c r="K177" s="1"/>
      <x:c r="L177" s="1"/>
      <x:c r="M177" s="1"/>
      <x:c r="N177" s="1"/>
      <x:c r="O177" s="1"/>
      <x:c r="P177" s="1"/>
      <x:c r="Q177" s="1"/>
      <x:c r="R177" s="1"/>
      <x:c r="S177" s="1"/>
      <x:c r="T177" s="1"/>
      <x:c r="U177" s="1"/>
      <x:c r="V177" s="1"/>
      <x:c r="W177" s="1"/>
      <x:c r="X177" s="1"/>
      <x:c r="Y177" s="1"/>
      <x:c r="Z177" s="1"/>
      <x:c r="AA177" s="1"/>
    </x:row>
    <x:row r="178">
      <x:c r="A178" s="1"/>
      <x:c r="B178" s="1"/>
      <x:c r="C178" s="1"/>
      <x:c r="D178" s="1"/>
      <x:c r="E178" s="1"/>
      <x:c r="F178" s="1"/>
      <x:c r="G178" s="1"/>
      <x:c r="H178" s="1"/>
      <x:c r="I178" s="1"/>
      <x:c r="J178" s="1"/>
      <x:c r="K178" s="1"/>
      <x:c r="L178" s="1"/>
      <x:c r="M178" s="1"/>
      <x:c r="N178" s="1"/>
      <x:c r="O178" s="1"/>
      <x:c r="P178" s="1"/>
      <x:c r="Q178" s="1"/>
      <x:c r="R178" s="1"/>
      <x:c r="S178" s="1"/>
      <x:c r="T178" s="1"/>
      <x:c r="U178" s="1"/>
      <x:c r="V178" s="1"/>
      <x:c r="W178" s="1"/>
      <x:c r="X178" s="1"/>
      <x:c r="Y178" s="1"/>
      <x:c r="Z178" s="1"/>
      <x:c r="AA178" s="1"/>
    </x:row>
    <x:row r="179">
      <x:c r="A179" s="1"/>
      <x:c r="B179" s="1"/>
      <x:c r="C179" s="1"/>
      <x:c r="D179" s="1"/>
      <x:c r="E179" s="1"/>
      <x:c r="F179" s="1"/>
      <x:c r="G179" s="1"/>
      <x:c r="H179" s="1"/>
      <x:c r="I179" s="1"/>
      <x:c r="J179" s="1"/>
      <x:c r="K179" s="1"/>
      <x:c r="L179" s="1"/>
      <x:c r="M179" s="1"/>
      <x:c r="N179" s="1"/>
      <x:c r="O179" s="1"/>
      <x:c r="P179" s="1"/>
      <x:c r="Q179" s="1"/>
      <x:c r="R179" s="1"/>
      <x:c r="S179" s="1"/>
      <x:c r="T179" s="1"/>
      <x:c r="U179" s="1"/>
      <x:c r="V179" s="1"/>
      <x:c r="W179" s="1"/>
      <x:c r="X179" s="1"/>
      <x:c r="Y179" s="1"/>
      <x:c r="Z179" s="1"/>
      <x:c r="AA179" s="1"/>
    </x:row>
    <x:row r="180">
      <x:c r="A180" s="1"/>
      <x:c r="B180" s="1"/>
      <x:c r="C180" s="1"/>
      <x:c r="D180" s="1"/>
      <x:c r="E180" s="1"/>
      <x:c r="F180" s="1"/>
      <x:c r="G180" s="1"/>
      <x:c r="H180" s="1"/>
      <x:c r="I180" s="1"/>
      <x:c r="J180" s="1"/>
      <x:c r="K180" s="1"/>
      <x:c r="L180" s="1"/>
      <x:c r="M180" s="1"/>
      <x:c r="N180" s="1"/>
      <x:c r="O180" s="1"/>
      <x:c r="P180" s="1"/>
      <x:c r="Q180" s="1"/>
      <x:c r="R180" s="1"/>
      <x:c r="S180" s="1"/>
      <x:c r="T180" s="1"/>
      <x:c r="U180" s="1"/>
      <x:c r="V180" s="1"/>
      <x:c r="W180" s="1"/>
      <x:c r="X180" s="1"/>
      <x:c r="Y180" s="1"/>
      <x:c r="Z180" s="1"/>
      <x:c r="AA180" s="1"/>
    </x:row>
    <x:row r="181">
      <x:c r="A181" s="1"/>
      <x:c r="B181" s="1"/>
      <x:c r="C181" s="1"/>
      <x:c r="D181" s="1"/>
      <x:c r="E181" s="1"/>
      <x:c r="F181" s="1"/>
      <x:c r="G181" s="1"/>
      <x:c r="H181" s="1"/>
      <x:c r="I181" s="1"/>
      <x:c r="J181" s="1"/>
      <x:c r="K181" s="1"/>
      <x:c r="L181" s="1"/>
      <x:c r="M181" s="1"/>
      <x:c r="N181" s="1"/>
      <x:c r="O181" s="1"/>
      <x:c r="P181" s="1"/>
      <x:c r="Q181" s="1"/>
      <x:c r="R181" s="1"/>
      <x:c r="S181" s="1"/>
      <x:c r="T181" s="1"/>
      <x:c r="U181" s="1"/>
      <x:c r="V181" s="1"/>
      <x:c r="W181" s="1"/>
      <x:c r="X181" s="1"/>
      <x:c r="Y181" s="1"/>
      <x:c r="Z181" s="1"/>
      <x:c r="AA181" s="1"/>
    </x:row>
    <x:row r="182">
      <x:c r="A182" s="1"/>
      <x:c r="B182" s="1"/>
      <x:c r="C182" s="1"/>
      <x:c r="D182" s="1"/>
      <x:c r="E182" s="1"/>
      <x:c r="F182" s="1"/>
      <x:c r="G182" s="1"/>
      <x:c r="H182" s="1"/>
      <x:c r="I182" s="1"/>
      <x:c r="J182" s="1"/>
      <x:c r="K182" s="1"/>
      <x:c r="L182" s="1"/>
      <x:c r="M182" s="1"/>
      <x:c r="N182" s="1"/>
      <x:c r="O182" s="1"/>
      <x:c r="P182" s="1"/>
      <x:c r="Q182" s="1"/>
      <x:c r="R182" s="1"/>
      <x:c r="S182" s="1"/>
      <x:c r="T182" s="1"/>
      <x:c r="U182" s="1"/>
      <x:c r="V182" s="1"/>
      <x:c r="W182" s="1"/>
      <x:c r="X182" s="1"/>
      <x:c r="Y182" s="1"/>
      <x:c r="Z182" s="1"/>
      <x:c r="AA182" s="1"/>
    </x:row>
    <x:row r="183">
      <x:c r="A183" s="1"/>
      <x:c r="B183" s="1"/>
      <x:c r="C183" s="1"/>
      <x:c r="D183" s="1"/>
      <x:c r="E183" s="1"/>
      <x:c r="F183" s="1"/>
      <x:c r="G183" s="1"/>
      <x:c r="H183" s="1"/>
      <x:c r="I183" s="1"/>
      <x:c r="J183" s="1"/>
      <x:c r="K183" s="1"/>
      <x:c r="L183" s="1"/>
      <x:c r="M183" s="1"/>
      <x:c r="N183" s="1"/>
      <x:c r="O183" s="1"/>
      <x:c r="P183" s="1"/>
      <x:c r="Q183" s="1"/>
      <x:c r="R183" s="1"/>
      <x:c r="S183" s="1"/>
      <x:c r="T183" s="1"/>
      <x:c r="U183" s="1"/>
      <x:c r="V183" s="1"/>
      <x:c r="W183" s="1"/>
      <x:c r="X183" s="1"/>
      <x:c r="Y183" s="1"/>
      <x:c r="Z183" s="1"/>
      <x:c r="AA183" s="1"/>
    </x:row>
    <x:row r="184">
      <x:c r="A184" s="1"/>
      <x:c r="B184" s="1"/>
      <x:c r="C184" s="1"/>
      <x:c r="D184" s="1"/>
      <x:c r="E184" s="1"/>
      <x:c r="F184" s="1"/>
      <x:c r="G184" s="1"/>
      <x:c r="H184" s="1"/>
      <x:c r="I184" s="1"/>
      <x:c r="J184" s="1"/>
      <x:c r="K184" s="1"/>
      <x:c r="L184" s="1"/>
      <x:c r="M184" s="1"/>
      <x:c r="N184" s="1"/>
      <x:c r="O184" s="1"/>
      <x:c r="P184" s="1"/>
      <x:c r="Q184" s="1"/>
      <x:c r="R184" s="1"/>
      <x:c r="S184" s="1"/>
      <x:c r="T184" s="1"/>
      <x:c r="U184" s="1"/>
      <x:c r="V184" s="1"/>
      <x:c r="W184" s="1"/>
      <x:c r="X184" s="1"/>
      <x:c r="Y184" s="1"/>
      <x:c r="Z184" s="1"/>
      <x:c r="AA184" s="1"/>
    </x:row>
    <x:row r="185">
      <x:c r="A185" s="1"/>
      <x:c r="B185" s="1"/>
      <x:c r="C185" s="1"/>
      <x:c r="D185" s="1"/>
      <x:c r="E185" s="1"/>
      <x:c r="F185" s="1"/>
      <x:c r="G185" s="1"/>
      <x:c r="H185" s="1"/>
      <x:c r="I185" s="1"/>
      <x:c r="J185" s="1"/>
      <x:c r="K185" s="1"/>
      <x:c r="L185" s="1"/>
      <x:c r="M185" s="1"/>
      <x:c r="N185" s="1"/>
      <x:c r="O185" s="1"/>
      <x:c r="P185" s="1"/>
      <x:c r="Q185" s="1"/>
      <x:c r="R185" s="1"/>
      <x:c r="S185" s="1"/>
      <x:c r="T185" s="1"/>
      <x:c r="U185" s="1"/>
      <x:c r="V185" s="1"/>
      <x:c r="W185" s="1"/>
      <x:c r="X185" s="1"/>
      <x:c r="Y185" s="1"/>
      <x:c r="Z185" s="1"/>
      <x:c r="AA185" s="1"/>
    </x:row>
    <x:row r="186">
      <x:c r="A186" s="1"/>
      <x:c r="B186" s="1"/>
      <x:c r="C186" s="1"/>
      <x:c r="D186" s="1"/>
      <x:c r="E186" s="1"/>
      <x:c r="F186" s="1"/>
      <x:c r="G186" s="1"/>
      <x:c r="H186" s="1"/>
      <x:c r="I186" s="1"/>
      <x:c r="J186" s="1"/>
      <x:c r="K186" s="1"/>
      <x:c r="L186" s="1"/>
      <x:c r="M186" s="1"/>
      <x:c r="N186" s="1"/>
      <x:c r="O186" s="1"/>
      <x:c r="P186" s="1"/>
      <x:c r="Q186" s="1"/>
      <x:c r="R186" s="1"/>
      <x:c r="S186" s="1"/>
      <x:c r="T186" s="1"/>
      <x:c r="U186" s="1"/>
      <x:c r="V186" s="1"/>
      <x:c r="W186" s="1"/>
      <x:c r="X186" s="1"/>
      <x:c r="Y186" s="1"/>
      <x:c r="Z186" s="1"/>
      <x:c r="AA186" s="1"/>
    </x:row>
    <x:row r="187">
      <x:c r="A187" s="1"/>
      <x:c r="B187" s="1"/>
      <x:c r="C187" s="1"/>
      <x:c r="D187" s="1"/>
      <x:c r="E187" s="1"/>
      <x:c r="F187" s="1"/>
      <x:c r="G187" s="1"/>
      <x:c r="H187" s="1"/>
      <x:c r="I187" s="1"/>
      <x:c r="J187" s="1"/>
      <x:c r="K187" s="1"/>
      <x:c r="L187" s="1"/>
      <x:c r="M187" s="1"/>
      <x:c r="N187" s="1"/>
      <x:c r="O187" s="1"/>
      <x:c r="P187" s="1"/>
      <x:c r="Q187" s="1"/>
      <x:c r="R187" s="1"/>
      <x:c r="S187" s="1"/>
      <x:c r="T187" s="1"/>
      <x:c r="U187" s="1"/>
      <x:c r="V187" s="1"/>
      <x:c r="W187" s="1"/>
      <x:c r="X187" s="1"/>
      <x:c r="Y187" s="1"/>
      <x:c r="Z187" s="1"/>
      <x:c r="AA187" s="1"/>
    </x:row>
    <x:row r="188">
      <x:c r="A188" s="1"/>
      <x:c r="B188" s="1"/>
      <x:c r="C188" s="1"/>
      <x:c r="D188" s="1"/>
      <x:c r="E188" s="1"/>
      <x:c r="F188" s="1"/>
      <x:c r="G188" s="1"/>
      <x:c r="H188" s="1"/>
      <x:c r="I188" s="1"/>
      <x:c r="J188" s="1"/>
      <x:c r="K188" s="1"/>
      <x:c r="L188" s="1"/>
      <x:c r="M188" s="1"/>
      <x:c r="N188" s="1"/>
      <x:c r="O188" s="1"/>
      <x:c r="P188" s="1"/>
      <x:c r="Q188" s="1"/>
      <x:c r="R188" s="1"/>
      <x:c r="S188" s="1"/>
      <x:c r="T188" s="1"/>
      <x:c r="U188" s="1"/>
      <x:c r="V188" s="1"/>
      <x:c r="W188" s="1"/>
      <x:c r="X188" s="1"/>
      <x:c r="Y188" s="1"/>
      <x:c r="Z188" s="1"/>
      <x:c r="AA188" s="1"/>
    </x:row>
    <x:row r="189">
      <x:c r="A189" s="1"/>
      <x:c r="B189" s="1"/>
      <x:c r="C189" s="1"/>
      <x:c r="D189" s="1"/>
      <x:c r="E189" s="1"/>
      <x:c r="F189" s="1"/>
      <x:c r="G189" s="1"/>
      <x:c r="H189" s="1"/>
      <x:c r="I189" s="1"/>
      <x:c r="J189" s="1"/>
      <x:c r="K189" s="1"/>
      <x:c r="L189" s="1"/>
      <x:c r="M189" s="1"/>
      <x:c r="N189" s="1"/>
      <x:c r="O189" s="1"/>
      <x:c r="P189" s="1"/>
      <x:c r="Q189" s="1"/>
      <x:c r="R189" s="1"/>
      <x:c r="S189" s="1"/>
      <x:c r="T189" s="1"/>
      <x:c r="U189" s="1"/>
      <x:c r="V189" s="1"/>
      <x:c r="W189" s="1"/>
      <x:c r="X189" s="1"/>
      <x:c r="Y189" s="1"/>
      <x:c r="Z189" s="1"/>
      <x:c r="AA189" s="1"/>
    </x:row>
    <x:row r="190">
      <x:c r="A190" s="1"/>
      <x:c r="B190" s="1"/>
      <x:c r="C190" s="1"/>
      <x:c r="D190" s="1"/>
      <x:c r="E190" s="1"/>
      <x:c r="F190" s="1"/>
      <x:c r="G190" s="1"/>
      <x:c r="H190" s="1"/>
      <x:c r="I190" s="1"/>
      <x:c r="J190" s="1"/>
      <x:c r="K190" s="1"/>
      <x:c r="L190" s="1"/>
      <x:c r="M190" s="1"/>
      <x:c r="N190" s="1"/>
      <x:c r="O190" s="1"/>
      <x:c r="P190" s="1"/>
      <x:c r="Q190" s="1"/>
      <x:c r="R190" s="1"/>
      <x:c r="S190" s="1"/>
      <x:c r="T190" s="1"/>
      <x:c r="U190" s="1"/>
      <x:c r="V190" s="1"/>
      <x:c r="W190" s="1"/>
      <x:c r="X190" s="1"/>
      <x:c r="Y190" s="1"/>
      <x:c r="Z190" s="1"/>
      <x:c r="AA190" s="1"/>
    </x:row>
  </x:sheetData>
  <x:mergeCells>
    <x:mergeCell ref="A1:J1"/>
    <x:mergeCell ref="A2:J2"/>
    <x:mergeCell ref="A3:J3"/>
    <x:mergeCell ref="A4:J4"/>
    <x:mergeCell ref="A5:J5"/>
    <x:mergeCell ref="A30:D30"/>
    <x:mergeCell ref="A33:B33"/>
    <x:mergeCell ref="C33:J33"/>
    <x:mergeCell ref="A34:B34"/>
    <x:mergeCell ref="C34:J34"/>
    <x:mergeCell ref="A35:B35"/>
    <x:mergeCell ref="C35:J35"/>
    <x:mergeCell ref="A36:B36"/>
    <x:mergeCell ref="C36:J36"/>
    <x:mergeCell ref="A37:B37"/>
    <x:mergeCell ref="C37:J37"/>
    <x:mergeCell ref="A38:B38"/>
    <x:mergeCell ref="C38:J38"/>
    <x:mergeCell ref="A39:B39"/>
    <x:mergeCell ref="C39:J39"/>
    <x:mergeCell ref="A40:B40"/>
    <x:mergeCell ref="C40:J40"/>
    <x:mergeCell ref="A41:B41"/>
    <x:mergeCell ref="C41:J41"/>
    <x:mergeCell ref="A42:B42"/>
    <x:mergeCell ref="C42:J42"/>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25" max="25" width="19" hidden="0" customWidth="1"/>
    <x:col min="1" max="1" width="7" hidden="0" customWidth="1"/>
    <x:col min="2" max="2" width="12" hidden="0" customWidth="1"/>
    <x:col min="3" max="3" width="14" hidden="0" customWidth="1"/>
    <x:col min="4" max="4" width="17" hidden="0" customWidth="1"/>
    <x:col min="5" max="5" width="20" hidden="0" customWidth="1"/>
    <x:col min="6" max="6" width="48" hidden="0" customWidth="1"/>
    <x:col min="7" max="7" width="18" hidden="0" customWidth="1"/>
    <x:col min="8" max="8" width="13" hidden="0" customWidth="1"/>
    <x:col min="9" max="9" width="13" hidden="0" customWidth="1"/>
    <x:col min="10" max="10" width="12" hidden="0" customWidth="1"/>
    <x:col min="11" max="11" width="14" hidden="0" customWidth="1"/>
    <x:col min="12" max="12" width="20" hidden="0" customWidth="1"/>
    <x:col min="13" max="13" width="23" hidden="0" customWidth="1"/>
    <x:col min="14" max="14" width="25" hidden="0" customWidth="1"/>
    <x:col min="15" max="15" width="35" hidden="0" customWidth="1"/>
    <x:col min="16" max="16" width="65" hidden="0" customWidth="1"/>
    <x:col min="17" max="17" width="3" hidden="0" customWidth="1"/>
    <x:col min="18" max="18" width="50" hidden="0" customWidth="1"/>
    <x:col min="19" max="19" width="45" hidden="0" customWidth="1"/>
    <x:col min="20" max="20" width="55" hidden="0" customWidth="1"/>
    <x:col min="21" max="21" width="55" hidden="0" customWidth="1"/>
    <x:col min="22" max="22" width="55" hidden="0" customWidth="1"/>
    <x:col min="23" max="23" width="65" hidden="0" customWidth="1"/>
    <x:col min="24" max="24" width="55" hidden="0" customWidth="1"/>
  </x:cols>
  <x:sheetData>
    <x:row r="1" ht="33" customHeight="1">
      <x:c r="A1" s="2" t="str">
        <x:v>District-by-district extensions</x:v>
      </x:c>
      <x:c r="B1" s="1"/>
      <x:c r="C1" s="1"/>
      <x:c r="D1" s="1"/>
      <x:c r="E1" s="1"/>
      <x:c r="F1" s="1"/>
      <x:c r="G1" s="1"/>
      <x:c r="H1" s="1"/>
      <x:c r="I1" s="1"/>
      <x:c r="J1" s="1"/>
      <x:c r="K1" s="1"/>
      <x:c r="L1" s="1"/>
      <x:c r="M1" s="1"/>
      <x:c r="N1" s="1"/>
      <x:c r="O1" s="1"/>
      <x:c r="P1" s="1"/>
      <x:c r="Q1" s="1"/>
      <x:c r="R1" s="1"/>
      <x:c r="S1" s="1"/>
      <x:c r="T1" s="1"/>
      <x:c r="U1" s="1"/>
      <x:c r="V1" s="1"/>
      <x:c r="W1" s="1"/>
      <x:c r="X1" s="1"/>
      <x:c r="Y1" s="1"/>
      <x:c r="Z1" s="1"/>
      <x:c r="AA1" s="1"/>
    </x:row>
    <x:row r="2" ht="25" customHeight="1">
      <x:c r="A2" s="1" t="str">
        <x:v>Filter by bill or municipality. Financial projections are gross increment retained, not tax-bill increases. Source links begin in column R.</x:v>
      </x:c>
      <x:c r="B2" s="1"/>
      <x:c r="C2" s="1"/>
      <x:c r="D2" s="1"/>
      <x:c r="E2" s="1"/>
      <x:c r="F2" s="1"/>
      <x:c r="G2" s="1"/>
      <x:c r="H2" s="1"/>
      <x:c r="I2" s="1"/>
      <x:c r="J2" s="1"/>
      <x:c r="K2" s="1"/>
      <x:c r="L2" s="1"/>
      <x:c r="M2" s="1"/>
      <x:c r="N2" s="1"/>
      <x:c r="O2" s="1"/>
      <x:c r="P2" s="1"/>
      <x:c r="Q2" s="1"/>
      <x:c r="R2" s="1"/>
      <x:c r="S2" s="1"/>
      <x:c r="T2" s="1"/>
      <x:c r="U2" s="1"/>
      <x:c r="V2" s="1"/>
      <x:c r="W2" s="1"/>
      <x:c r="X2" s="1"/>
      <x:c r="Y2" s="1"/>
      <x:c r="Z2" s="1"/>
      <x:c r="AA2" s="1"/>
    </x:row>
    <x:row r="3" ht="25" customHeight="1">
      <x:c r="A3" s="1" t="str">
        <x:v>Dollar values are nominal USD. A blank baseline means unavailable; an explicit zero reflects the source. See Bills for assumptions.</x:v>
      </x:c>
      <x:c r="B3" s="1"/>
      <x:c r="C3" s="1"/>
      <x:c r="D3" s="1"/>
      <x:c r="E3" s="1"/>
      <x:c r="F3" s="1"/>
      <x:c r="G3" s="1"/>
      <x:c r="H3" s="1"/>
      <x:c r="I3" s="1"/>
      <x:c r="J3" s="1"/>
      <x:c r="K3" s="1"/>
      <x:c r="L3" s="1"/>
      <x:c r="M3" s="1"/>
      <x:c r="N3" s="1"/>
      <x:c r="O3" s="1"/>
      <x:c r="P3" s="1"/>
      <x:c r="Q3" s="1"/>
      <x:c r="R3" s="1"/>
      <x:c r="S3" s="1"/>
      <x:c r="T3" s="1"/>
      <x:c r="U3" s="1"/>
      <x:c r="V3" s="1"/>
      <x:c r="W3" s="1"/>
      <x:c r="X3" s="1"/>
      <x:c r="Y3" s="1"/>
      <x:c r="Z3" s="1"/>
      <x:c r="AA3" s="1"/>
    </x:row>
    <x:row r="4">
      <x:c r="A4" s="1"/>
      <x:c r="B4" s="1"/>
      <x:c r="C4" s="1"/>
      <x:c r="D4" s="1"/>
      <x:c r="E4" s="1"/>
      <x:c r="F4" s="1"/>
      <x:c r="G4" s="1"/>
      <x:c r="H4" s="1"/>
      <x:c r="I4" s="1"/>
      <x:c r="J4" s="1"/>
      <x:c r="K4" s="1"/>
      <x:c r="L4" s="1"/>
      <x:c r="M4" s="1"/>
      <x:c r="N4" s="1"/>
      <x:c r="O4" s="1"/>
      <x:c r="P4" s="1"/>
      <x:c r="Q4" s="1"/>
      <x:c r="R4" s="1"/>
      <x:c r="S4" s="1"/>
      <x:c r="T4" s="1"/>
      <x:c r="U4" s="1"/>
      <x:c r="V4" s="1"/>
      <x:c r="W4" s="1"/>
      <x:c r="X4" s="1"/>
      <x:c r="Y4" s="1"/>
      <x:c r="Z4" s="1"/>
      <x:c r="AA4" s="1"/>
    </x:row>
    <x:row r="5">
      <x:c r="A5" s="1"/>
      <x:c r="B5" s="1"/>
      <x:c r="C5" s="1"/>
      <x:c r="D5" s="1"/>
      <x:c r="E5" s="1"/>
      <x:c r="F5" s="1"/>
      <x:c r="G5" s="1"/>
      <x:c r="H5" s="1"/>
      <x:c r="I5" s="1"/>
      <x:c r="J5" s="1"/>
      <x:c r="K5" s="1"/>
      <x:c r="L5" s="1"/>
      <x:c r="M5" s="1"/>
      <x:c r="N5" s="1"/>
      <x:c r="O5" s="1"/>
      <x:c r="P5" s="1"/>
      <x:c r="Q5" s="1"/>
      <x:c r="R5" s="1"/>
      <x:c r="S5" s="1"/>
      <x:c r="T5" s="1"/>
      <x:c r="U5" s="1"/>
      <x:c r="V5" s="1"/>
      <x:c r="W5" s="1"/>
      <x:c r="X5" s="1"/>
      <x:c r="Y5" s="1"/>
      <x:c r="Z5" s="1"/>
      <x:c r="AA5" s="1"/>
    </x:row>
    <x:row r="6">
      <x:c r="A6" s="1"/>
      <x:c r="B6" s="1"/>
      <x:c r="C6" s="1"/>
      <x:c r="D6" s="1"/>
      <x:c r="E6" s="1"/>
      <x:c r="F6" s="1"/>
      <x:c r="G6" s="1"/>
      <x:c r="H6" s="1"/>
      <x:c r="I6" s="1"/>
      <x:c r="J6" s="1"/>
      <x:c r="K6" s="1"/>
      <x:c r="L6" s="1"/>
      <x:c r="M6" s="1"/>
      <x:c r="N6" s="1"/>
      <x:c r="O6" s="1"/>
      <x:c r="P6" s="1"/>
      <x:c r="Q6" s="1"/>
      <x:c r="R6" s="1"/>
      <x:c r="S6" s="1"/>
      <x:c r="T6" s="1"/>
      <x:c r="U6" s="1"/>
      <x:c r="V6" s="1"/>
      <x:c r="W6" s="1"/>
      <x:c r="X6" s="1"/>
      <x:c r="Y6" s="1"/>
      <x:c r="Z6" s="1"/>
      <x:c r="AA6" s="1"/>
    </x:row>
    <x:row r="7" ht="52" customHeight="1">
      <x:c r="A7" s="11" t="str">
        <x:v>ID</x:v>
      </x:c>
      <x:c r="B7" s="11" t="str">
        <x:v>Bill</x:v>
      </x:c>
      <x:c r="C7" s="11" t="str">
        <x:v>Public Act</x:v>
      </x:c>
      <x:c r="D7" s="11" t="str">
        <x:v>Signed by Pritzker</x:v>
      </x:c>
      <x:c r="E7" s="11" t="str">
        <x:v>Municipality</x:v>
      </x:c>
      <x:c r="F7" s="11" t="str">
        <x:v>TIF / redevelopment area</x:v>
      </x:c>
      <x:c r="G7" s="11" t="str">
        <x:v>Ordinance date in act</x:v>
      </x:c>
      <x:c r="H7" s="11" t="str">
        <x:v>Prior term (years)</x:v>
      </x:c>
      <x:c r="I7" s="11" t="str">
        <x:v>New term (years)</x:v>
      </x:c>
      <x:c r="J7" s="11" t="str">
        <x:v>Added years</x:v>
      </x:c>
      <x:c r="K7" s="11" t="str">
        <x:v>Statutory clause</x:v>
      </x:c>
      <x:c r="L7" s="11" t="str">
        <x:v>Baseline period</x:v>
      </x:c>
      <x:c r="M7" s="11" t="str">
        <x:v>Annual property-tax increment ($)</x:v>
      </x:c>
      <x:c r="N7" s="11" t="str">
        <x:v>Gross extension projection ($)</x:v>
      </x:c>
      <x:c r="O7" s="11" t="str">
        <x:v>Tax-bill increase estimate</x:v>
      </x:c>
      <x:c r="P7" s="11" t="str">
        <x:v>Notes</x:v>
      </x:c>
      <x:c r="Q7" s="11" t="str">
        <x:v>Source links →</x:v>
      </x:c>
      <x:c r="R7" s="11" t="str">
        <x:v>Signed act</x:v>
      </x:c>
      <x:c r="S7" s="11" t="str">
        <x:v>Signing history</x:v>
      </x:c>
      <x:c r="T7" s="11" t="str">
        <x:v>Annual TIF reporting</x:v>
      </x:c>
      <x:c r="U7" s="11" t="str">
        <x:v>Municipal report index</x:v>
      </x:c>
      <x:c r="V7" s="11" t="str">
        <x:v>Financial source</x:v>
      </x:c>
      <x:c r="W7" s="11" t="str">
        <x:v>Financial source detail</x:v>
      </x:c>
      <x:c r="X7" s="11" t="str">
        <x:v>Name identification source</x:v>
      </x:c>
      <x:c r="Y7" s="11" t="str">
        <x:v>Financial baseline available (1/0)</x:v>
      </x:c>
      <x:c r="Z7" s="1"/>
      <x:c r="AA7" s="1"/>
    </x:row>
    <x:row r="8" ht="54" customHeight="1">
      <x:c r="A8" s="12" t="n">
        <x:v>1</x:v>
      </x:c>
      <x:c r="B8" s="12" t="str">
        <x:v>HB 2931</x:v>
      </x:c>
      <x:c r="C8" s="12" t="str">
        <x:v>101-0274</x:v>
      </x:c>
      <x:c r="D8" s="17" t="d">
        <x:v>2019-08-09T00:00:00.000Z</x:v>
      </x:c>
      <x:c r="E8" s="18" t="str">
        <x:v>Phoenix</x:v>
      </x:c>
      <x:c r="F8" s="13" t="str">
        <x:v>TIF RPA</x:v>
      </x:c>
      <x:c r="G8" s="15" t="d">
        <x:v>1996-07-03T00:00:00.000Z</x:v>
      </x:c>
      <x:c r="H8" s="19" t="n">
        <x:v>23</x:v>
      </x:c>
      <x:c r="I8" s="19" t="n">
        <x:v>35</x:v>
      </x:c>
      <x:c r="J8" s="19" t="n">
        <x:v>12</x:v>
      </x:c>
      <x:c r="K8" s="19" t="str">
        <x:v>c(170)</x:v>
      </x:c>
      <x:c r="L8" s="12" t="str">
        <x:v>Tax year 2024</x:v>
      </x:c>
      <x:c r="M8" s="23" t="n">
        <x:v>3314329.5</x:v>
      </x:c>
      <x:c r="N8" s="22" t="n">
        <x:f>IF(ISNUMBER(M8),M8*J8,"")</x:f>
        <x:v>39771954</x:v>
      </x:c>
      <x:c r="O8" s="13" t="str">
        <x:v>Not determinable from extension law / TIF receipts alone</x:v>
      </x:c>
      <x:c r="P8" s="13" t="str"/>
      <x:c r="Q8" s="12" t="str"/>
      <x:c r="R8" s="24" t="e">
        <x:f>HYPERLINK("https://www.ilga.gov/ftp/Public%20Acts/101/101-0274.htm","Signed Public Act")</x:f>
        <x:v>HYPERLINK is not implemented. linkLocation=https://www.ilga.gov/ftp/Public%20Acts/101/101-0274.htm, friendlyName=Signed Public Act</x:v>
      </x:c>
      <x:c r="S8" s="24" t="e">
        <x:f>HYPERLINK("https://legiscan.com/IL/bill/HB2931/2019","Signing history")</x:f>
        <x:v>HYPERLINK is not implemented. linkLocation=https://legiscan.com/IL/bill/HB2931/2019, friendlyName=Signing history</x:v>
      </x:c>
      <x:c r="T8" s="24" t="e">
        <x:f>HYPERLINK("https://files.illinoiscomptroller.gov/LocGovTIF/FY2024/01646032/24TIF01646032TIF_RPA_1.pdf","TIF annual reporting")</x:f>
        <x:v>HYPERLINK is not implemented. linkLocation=https://files.illinoiscomptroller.gov/LocGovTIF/FY2024/01646032/24TIF01646032TIF_RPA_1.pdf, friendlyName=TIF annual reporting</x:v>
      </x:c>
      <x:c r="U8" s="24" t="e">
        <x:f>HYPERLINK("https://illinoiscomptroller.gov/constituent-services/local-government/local-government-warehouse/landingpage?code=016%2F460%2F32","Municipal report index")</x:f>
        <x:v>HYPERLINK is not implemented. linkLocation=https://illinoiscomptroller.gov/constituent-services/local-government/local-government-warehouse/landingpage?code=016%2F460%2F32, friendlyName=Municipal report index</x:v>
      </x:c>
      <x:c r="V8" s="24" t="e">
        <x:f>HYPERLINK("https://news.wttw.com/sites/default/files/article/file-attachments/2024-tif-report.pdf#page=60","Financial source")</x:f>
        <x:v>HYPERLINK is not implemented. linkLocation=https://news.wttw.com/sites/default/files/article/file-attachments/2024-tif-report.pdf#page=60, friendlyName=Financial source</x:v>
      </x:c>
      <x:c r="W8" s="24" t="str">
        <x:v>Cook County Clerk 2024 TIF report; 03-1020-500; Phoenix; PDF page 60</x:v>
      </x:c>
      <x:c r="X8" s="24" t="e">
        <x:f>HYPERLINK("https://files.illinoiscomptroller.gov/LocGovTIF/FY2024/01646032/24TIF01646032TIF_RPA_1.pdf","Name source")</x:f>
        <x:v>HYPERLINK is not implemented. linkLocation=https://files.illinoiscomptroller.gov/LocGovTIF/FY2024/01646032/24TIF01646032TIF_RPA_1.pdf, friendlyName=Name source</x:v>
      </x:c>
      <x:c r="Y8" s="1" t="n">
        <x:v>1</x:v>
      </x:c>
      <x:c r="Z8" s="1"/>
      <x:c r="AA8" s="1"/>
    </x:row>
    <x:row r="9" ht="54" customHeight="1">
      <x:c r="A9" s="12" t="n">
        <x:v>2</x:v>
      </x:c>
      <x:c r="B9" s="12" t="str">
        <x:v>HB 2931</x:v>
      </x:c>
      <x:c r="C9" s="12" t="str">
        <x:v>101-0274</x:v>
      </x:c>
      <x:c r="D9" s="17" t="d">
        <x:v>2019-08-09T00:00:00.000Z</x:v>
      </x:c>
      <x:c r="E9" s="18" t="str">
        <x:v>Swansea</x:v>
      </x:c>
      <x:c r="F9" s="13" t="str">
        <x:v>TIF 1</x:v>
      </x:c>
      <x:c r="G9" s="15" t="d">
        <x:v>1997-05-19T00:00:00.000Z</x:v>
      </x:c>
      <x:c r="H9" s="19" t="n">
        <x:v>23</x:v>
      </x:c>
      <x:c r="I9" s="19" t="n">
        <x:v>35</x:v>
      </x:c>
      <x:c r="J9" s="19" t="n">
        <x:v>12</x:v>
      </x:c>
      <x:c r="K9" s="19" t="str">
        <x:v>c(171)</x:v>
      </x:c>
      <x:c r="L9" s="12" t="str">
        <x:v>Fiscal year 2025</x:v>
      </x:c>
      <x:c r="M9" s="23" t="n">
        <x:v>659712</x:v>
      </x:c>
      <x:c r="N9" s="22" t="n">
        <x:f>IF(ISNUMBER(M9),M9*J9,"")</x:f>
        <x:v>7916544</x:v>
      </x:c>
      <x:c r="O9" s="13" t="str">
        <x:v>Not determinable from extension law / TIF receipts alone</x:v>
      </x:c>
      <x:c r="P9" s="13" t="str"/>
      <x:c r="Q9" s="12" t="str"/>
      <x:c r="R9" s="24" t="e">
        <x:f>HYPERLINK("https://www.ilga.gov/ftp/Public%20Acts/101/101-0274.htm","Signed Public Act")</x:f>
        <x:v>HYPERLINK is not implemented. linkLocation=https://www.ilga.gov/ftp/Public%20Acts/101/101-0274.htm, friendlyName=Signed Public Act</x:v>
      </x:c>
      <x:c r="S9" s="24" t="e">
        <x:f>HYPERLINK("https://legiscan.com/IL/bill/HB2931/2019","Signing history")</x:f>
        <x:v>HYPERLINK is not implemented. linkLocation=https://legiscan.com/IL/bill/HB2931/2019, friendlyName=Signing history</x:v>
      </x:c>
      <x:c r="T9" s="24" t="e">
        <x:f>HYPERLINK("https://files.illinoiscomptroller.gov/LocGovTIF/FY2025/08814032/25TIF08814032TIF_1_1.pdf","TIF annual reporting")</x:f>
        <x:v>HYPERLINK is not implemented. linkLocation=https://files.illinoiscomptroller.gov/LocGovTIF/FY2025/08814032/25TIF08814032TIF_1_1.pdf, friendlyName=TIF annual reporting</x:v>
      </x:c>
      <x:c r="U9" s="24" t="e">
        <x:f>HYPERLINK("https://illinoiscomptroller.gov/constituent-services/local-government/local-government-warehouse/landingpage?code=088%2F140%2F32","Municipal report index")</x:f>
        <x:v>HYPERLINK is not implemented. linkLocation=https://illinoiscomptroller.gov/constituent-services/local-government/local-government-warehouse/landingpage?code=088%2F140%2F32, friendlyName=Municipal report index</x:v>
      </x:c>
      <x:c r="V9" s="24" t="e">
        <x:f>HYPERLINK("https://files.illinoiscomptroller.gov/LocGovTIF/FY2025/08814032/25TIF08814032TIF_1_1.pdf#page=3","Financial source")</x:f>
        <x:v>HYPERLINK is not implemented. linkLocation=https://files.illinoiscomptroller.gov/LocGovTIF/FY2025/08814032/25TIF08814032TIF_1_1.pdf#page=3, friendlyName=Financial source</x:v>
      </x:c>
      <x:c r="W9" s="24" t="str">
        <x:v>Municipal TIF annual report, section 3.1, current-year Property Tax Increment. FY 2025</x:v>
      </x:c>
      <x:c r="X9" s="24" t="e">
        <x:f>HYPERLINK("https://files.illinoiscomptroller.gov/LocGovTIF/FY2025/08814032/25TIF08814032TIF_1_1.pdf","Name source")</x:f>
        <x:v>HYPERLINK is not implemented. linkLocation=https://files.illinoiscomptroller.gov/LocGovTIF/FY2025/08814032/25TIF08814032TIF_1_1.pdf, friendlyName=Name source</x:v>
      </x:c>
      <x:c r="Y9" s="1" t="n">
        <x:v>1</x:v>
      </x:c>
      <x:c r="Z9" s="1"/>
      <x:c r="AA9" s="1"/>
    </x:row>
    <x:row r="10" ht="54" customHeight="1">
      <x:c r="A10" s="12" t="n">
        <x:v>3</x:v>
      </x:c>
      <x:c r="B10" s="12" t="str">
        <x:v>HB 2931</x:v>
      </x:c>
      <x:c r="C10" s="12" t="str">
        <x:v>101-0274</x:v>
      </x:c>
      <x:c r="D10" s="17" t="d">
        <x:v>2019-08-09T00:00:00.000Z</x:v>
      </x:c>
      <x:c r="E10" s="18" t="str">
        <x:v>Saunemin</x:v>
      </x:c>
      <x:c r="F10" s="13" t="str">
        <x:v>TIF 1</x:v>
      </x:c>
      <x:c r="G10" s="15" t="d">
        <x:v>2001-08-13T00:00:00.000Z</x:v>
      </x:c>
      <x:c r="H10" s="19" t="n">
        <x:v>23</x:v>
      </x:c>
      <x:c r="I10" s="19" t="n">
        <x:v>35</x:v>
      </x:c>
      <x:c r="J10" s="19" t="n">
        <x:v>12</x:v>
      </x:c>
      <x:c r="K10" s="19" t="str">
        <x:v>c(172)</x:v>
      </x:c>
      <x:c r="L10" s="12" t="str">
        <x:v>Fiscal year 2025</x:v>
      </x:c>
      <x:c r="M10" s="23" t="n">
        <x:v>88874</x:v>
      </x:c>
      <x:c r="N10" s="22" t="n">
        <x:f>IF(ISNUMBER(M10),M10*J10,"")</x:f>
        <x:v>1066488</x:v>
      </x:c>
      <x:c r="O10" s="13" t="str">
        <x:v>Not determinable from extension law / TIF receipts alone</x:v>
      </x:c>
      <x:c r="P10" s="13" t="str"/>
      <x:c r="Q10" s="12" t="str"/>
      <x:c r="R10" s="24" t="e">
        <x:f>HYPERLINK("https://www.ilga.gov/ftp/Public%20Acts/101/101-0274.htm","Signed Public Act")</x:f>
        <x:v>HYPERLINK is not implemented. linkLocation=https://www.ilga.gov/ftp/Public%20Acts/101/101-0274.htm, friendlyName=Signed Public Act</x:v>
      </x:c>
      <x:c r="S10" s="24" t="e">
        <x:f>HYPERLINK("https://legiscan.com/IL/bill/HB2931/2019","Signing history")</x:f>
        <x:v>HYPERLINK is not implemented. linkLocation=https://legiscan.com/IL/bill/HB2931/2019, friendlyName=Signing history</x:v>
      </x:c>
      <x:c r="T10" s="24" t="e">
        <x:f>HYPERLINK("https://files.illinoiscomptroller.gov/LocGovTIF/FY2025/05307032/25TIF05307032TIF_1_1.pdf","TIF annual reporting")</x:f>
        <x:v>HYPERLINK is not implemented. linkLocation=https://files.illinoiscomptroller.gov/LocGovTIF/FY2025/05307032/25TIF05307032TIF_1_1.pdf, friendlyName=TIF annual reporting</x:v>
      </x:c>
      <x:c r="U10" s="24" t="e">
        <x:f>HYPERLINK("https://illinoiscomptroller.gov/constituent-services/local-government/local-government-warehouse/landingpage?code=053%2F070%2F32","Municipal report index")</x:f>
        <x:v>HYPERLINK is not implemented. linkLocation=https://illinoiscomptroller.gov/constituent-services/local-government/local-government-warehouse/landingpage?code=053%2F070%2F32, friendlyName=Municipal report index</x:v>
      </x:c>
      <x:c r="V10" s="24" t="e">
        <x:f>HYPERLINK("https://files.illinoiscomptroller.gov/LocGovTIF/FY2025/05307032/25TIF05307032TIF_1_1.pdf#page=3","Financial source")</x:f>
        <x:v>HYPERLINK is not implemented. linkLocation=https://files.illinoiscomptroller.gov/LocGovTIF/FY2025/05307032/25TIF05307032TIF_1_1.pdf#page=3, friendlyName=Financial source</x:v>
      </x:c>
      <x:c r="W10" s="24" t="str">
        <x:v>Municipal TIF annual report, section 3.1, current-year Property Tax Increment. FY 2025</x:v>
      </x:c>
      <x:c r="X10" s="24" t="e">
        <x:f>HYPERLINK("https://files.illinoiscomptroller.gov/LocGovTIF/FY2025/05307032/25TIF05307032TIF_1_1.pdf","Name source")</x:f>
        <x:v>HYPERLINK is not implemented. linkLocation=https://files.illinoiscomptroller.gov/LocGovTIF/FY2025/05307032/25TIF05307032TIF_1_1.pdf, friendlyName=Name source</x:v>
      </x:c>
      <x:c r="Y10" s="1" t="n">
        <x:v>1</x:v>
      </x:c>
      <x:c r="Z10" s="1"/>
      <x:c r="AA10" s="1"/>
    </x:row>
    <x:row r="11" ht="54" customHeight="1">
      <x:c r="A11" s="12" t="n">
        <x:v>4</x:v>
      </x:c>
      <x:c r="B11" s="12" t="str">
        <x:v>HB 2931</x:v>
      </x:c>
      <x:c r="C11" s="12" t="str">
        <x:v>101-0274</x:v>
      </x:c>
      <x:c r="D11" s="17" t="d">
        <x:v>2019-08-09T00:00:00.000Z</x:v>
      </x:c>
      <x:c r="E11" s="18" t="str">
        <x:v>Romeoville</x:v>
      </x:c>
      <x:c r="F11" s="13" t="str">
        <x:v>Downtown Area</x:v>
      </x:c>
      <x:c r="G11" s="15" t="d">
        <x:v>2005-01-10T00:00:00.000Z</x:v>
      </x:c>
      <x:c r="H11" s="19" t="n">
        <x:v>23</x:v>
      </x:c>
      <x:c r="I11" s="19" t="n">
        <x:v>35</x:v>
      </x:c>
      <x:c r="J11" s="19" t="n">
        <x:v>12</x:v>
      </x:c>
      <x:c r="K11" s="19" t="str">
        <x:v>c(173)</x:v>
      </x:c>
      <x:c r="L11" s="12" t="str">
        <x:v>Fiscal year 2025</x:v>
      </x:c>
      <x:c r="M11" s="23" t="n">
        <x:v>859075</x:v>
      </x:c>
      <x:c r="N11" s="22" t="n">
        <x:f>IF(ISNUMBER(M11),M11*J11,"")</x:f>
        <x:v>10308900</x:v>
      </x:c>
      <x:c r="O11" s="13" t="str">
        <x:v>Not determinable from extension law / TIF receipts alone</x:v>
      </x:c>
      <x:c r="P11" s="13" t="str"/>
      <x:c r="Q11" s="12" t="str"/>
      <x:c r="R11" s="24" t="e">
        <x:f>HYPERLINK("https://www.ilga.gov/ftp/Public%20Acts/101/101-0274.htm","Signed Public Act")</x:f>
        <x:v>HYPERLINK is not implemented. linkLocation=https://www.ilga.gov/ftp/Public%20Acts/101/101-0274.htm, friendlyName=Signed Public Act</x:v>
      </x:c>
      <x:c r="S11" s="24" t="e">
        <x:f>HYPERLINK("https://legiscan.com/IL/bill/HB2931/2019","Signing history")</x:f>
        <x:v>HYPERLINK is not implemented. linkLocation=https://legiscan.com/IL/bill/HB2931/2019, friendlyName=Signing history</x:v>
      </x:c>
      <x:c r="T11" s="24" t="e">
        <x:f>HYPERLINK("https://files.illinoiscomptroller.gov/LocGovTIF/FY2025/09910732/25TIF09910732Downtown_Area_1.pdf","TIF annual reporting")</x:f>
        <x:v>HYPERLINK is not implemented. linkLocation=https://files.illinoiscomptroller.gov/LocGovTIF/FY2025/09910732/25TIF09910732Downtown_Area_1.pdf, friendlyName=TIF annual reporting</x:v>
      </x:c>
      <x:c r="U11" s="24" t="e">
        <x:f>HYPERLINK("https://illinoiscomptroller.gov/constituent-services/local-government/local-government-warehouse/landingpage?code=099%2F107%2F32","Municipal report index")</x:f>
        <x:v>HYPERLINK is not implemented. linkLocation=https://illinoiscomptroller.gov/constituent-services/local-government/local-government-warehouse/landingpage?code=099%2F107%2F32, friendlyName=Municipal report index</x:v>
      </x:c>
      <x:c r="V11" s="24" t="e">
        <x:f>HYPERLINK("https://files.illinoiscomptroller.gov/LocGovTIF/FY2025/09910732/25TIF09910732Downtown_Area_1.pdf#page=3","Financial source")</x:f>
        <x:v>HYPERLINK is not implemented. linkLocation=https://files.illinoiscomptroller.gov/LocGovTIF/FY2025/09910732/25TIF09910732Downtown_Area_1.pdf#page=3, friendlyName=Financial source</x:v>
      </x:c>
      <x:c r="W11" s="24" t="str">
        <x:v>Municipal TIF annual report, section 3.1, current-year Property Tax Increment. FY 2025</x:v>
      </x:c>
      <x:c r="X11" s="24" t="e">
        <x:f>HYPERLINK("https://files.illinoiscomptroller.gov/LocGovTIF/FY2025/09910732/25TIF09910732Downtown_Area_1.pdf","Name source")</x:f>
        <x:v>HYPERLINK is not implemented. linkLocation=https://files.illinoiscomptroller.gov/LocGovTIF/FY2025/09910732/25TIF09910732Downtown_Area_1.pdf, friendlyName=Name source</x:v>
      </x:c>
      <x:c r="Y11" s="1" t="n">
        <x:v>1</x:v>
      </x:c>
      <x:c r="Z11" s="1"/>
      <x:c r="AA11" s="1"/>
    </x:row>
    <x:row r="12" ht="54" customHeight="1">
      <x:c r="A12" s="12" t="n">
        <x:v>5</x:v>
      </x:c>
      <x:c r="B12" s="12" t="str">
        <x:v>HB 2931</x:v>
      </x:c>
      <x:c r="C12" s="12" t="str">
        <x:v>101-0274</x:v>
      </x:c>
      <x:c r="D12" s="17" t="d">
        <x:v>2019-08-09T00:00:00.000Z</x:v>
      </x:c>
      <x:c r="E12" s="18" t="str">
        <x:v>Berwyn</x:v>
      </x:c>
      <x:c r="F12" s="13" t="str">
        <x:v>South Berwyn Corridor Tax Increment Financing District</x:v>
      </x:c>
      <x:c r="G12" s="15" t="d">
        <x:v>1997-01-28T00:00:00.000Z</x:v>
      </x:c>
      <x:c r="H12" s="19" t="n">
        <x:v>23</x:v>
      </x:c>
      <x:c r="I12" s="19" t="n">
        <x:v>35</x:v>
      </x:c>
      <x:c r="J12" s="19" t="n">
        <x:v>12</x:v>
      </x:c>
      <x:c r="K12" s="19" t="str">
        <x:v>c(174)</x:v>
      </x:c>
      <x:c r="L12" s="12" t="str">
        <x:v>Tax year 2024</x:v>
      </x:c>
      <x:c r="M12" s="23" t="n">
        <x:v>1781163.78</x:v>
      </x:c>
      <x:c r="N12" s="22" t="n">
        <x:f>IF(ISNUMBER(M12),M12*J12,"")</x:f>
        <x:v>21373965.36</x:v>
      </x:c>
      <x:c r="O12" s="13" t="str">
        <x:v>Not determinable from extension law / TIF receipts alone</x:v>
      </x:c>
      <x:c r="P12" s="13" t="str"/>
      <x:c r="Q12" s="12" t="str"/>
      <x:c r="R12" s="24" t="e">
        <x:f>HYPERLINK("https://www.ilga.gov/ftp/Public%20Acts/101/101-0274.htm","Signed Public Act")</x:f>
        <x:v>HYPERLINK is not implemented. linkLocation=https://www.ilga.gov/ftp/Public%20Acts/101/101-0274.htm, friendlyName=Signed Public Act</x:v>
      </x:c>
      <x:c r="S12" s="24" t="e">
        <x:f>HYPERLINK("https://legiscan.com/IL/bill/HB2931/2019","Signing history")</x:f>
        <x:v>HYPERLINK is not implemented. linkLocation=https://legiscan.com/IL/bill/HB2931/2019, friendlyName=Signing history</x:v>
      </x:c>
      <x:c r="T12" s="24" t="e">
        <x:f>HYPERLINK("https://files.illinoiscomptroller.gov/LocGovTIF/FY2025/01605030/25TIF01605030South_BerCorridor_1.pdf","TIF annual reporting")</x:f>
        <x:v>HYPERLINK is not implemented. linkLocation=https://files.illinoiscomptroller.gov/LocGovTIF/FY2025/01605030/25TIF01605030South_BerCorridor_1.pdf, friendlyName=TIF annual reporting</x:v>
      </x:c>
      <x:c r="U12" s="24" t="e">
        <x:f>HYPERLINK("https://illinoiscomptroller.gov/constituent-services/local-government/local-government-warehouse/landingpage?code=016%2F050%2F30","Municipal report index")</x:f>
        <x:v>HYPERLINK is not implemented. linkLocation=https://illinoiscomptroller.gov/constituent-services/local-government/local-government-warehouse/landingpage?code=016%2F050%2F30, friendlyName=Municipal report index</x:v>
      </x:c>
      <x:c r="V12" s="24" t="e">
        <x:f>HYPERLINK("https://news.wttw.com/sites/default/files/article/file-attachments/2024-tif-report.pdf#page=36","Financial source")</x:f>
        <x:v>HYPERLINK is not implemented. linkLocation=https://news.wttw.com/sites/default/files/article/file-attachments/2024-tif-report.pdf#page=36, friendlyName=Financial source</x:v>
      </x:c>
      <x:c r="W12" s="24" t="str">
        <x:v>Cook County Clerk 2024 TIF report; 03-0100-503; Berwyn - South Berwyn Corridor; PDF page 36</x:v>
      </x:c>
      <x:c r="X12" s="24" t="e">
        <x:f>HYPERLINK("https://www.ilga.gov/ftp/Public%20Acts/101/101-0274.htm","Name source")</x:f>
        <x:v>HYPERLINK is not implemented. linkLocation=https://www.ilga.gov/ftp/Public%20Acts/101/101-0274.htm, friendlyName=Name source</x:v>
      </x:c>
      <x:c r="Y12" s="1" t="n">
        <x:v>1</x:v>
      </x:c>
      <x:c r="Z12" s="1"/>
      <x:c r="AA12" s="1"/>
    </x:row>
    <x:row r="13" ht="54" customHeight="1">
      <x:c r="A13" s="12" t="n">
        <x:v>6</x:v>
      </x:c>
      <x:c r="B13" s="12" t="str">
        <x:v>HB 2931</x:v>
      </x:c>
      <x:c r="C13" s="12" t="str">
        <x:v>101-0274</x:v>
      </x:c>
      <x:c r="D13" s="17" t="d">
        <x:v>2019-08-09T00:00:00.000Z</x:v>
      </x:c>
      <x:c r="E13" s="18" t="str">
        <x:v>Berwyn</x:v>
      </x:c>
      <x:c r="F13" s="13" t="str">
        <x:v>Roosevelt Road Tax Increment Financing District</x:v>
      </x:c>
      <x:c r="G13" s="15" t="d">
        <x:v>1997-01-28T00:00:00.000Z</x:v>
      </x:c>
      <x:c r="H13" s="19" t="n">
        <x:v>23</x:v>
      </x:c>
      <x:c r="I13" s="19" t="n">
        <x:v>35</x:v>
      </x:c>
      <x:c r="J13" s="19" t="n">
        <x:v>12</x:v>
      </x:c>
      <x:c r="K13" s="19" t="str">
        <x:v>c(175)</x:v>
      </x:c>
      <x:c r="L13" s="12" t="str">
        <x:v>Tax year 2024</x:v>
      </x:c>
      <x:c r="M13" s="23" t="n">
        <x:v>977511.09</x:v>
      </x:c>
      <x:c r="N13" s="22" t="n">
        <x:f>IF(ISNUMBER(M13),M13*J13,"")</x:f>
        <x:v>11730133.08</x:v>
      </x:c>
      <x:c r="O13" s="13" t="str">
        <x:v>Not determinable from extension law / TIF receipts alone</x:v>
      </x:c>
      <x:c r="P13" s="13" t="str"/>
      <x:c r="Q13" s="12" t="str"/>
      <x:c r="R13" s="24" t="e">
        <x:f>HYPERLINK("https://www.ilga.gov/ftp/Public%20Acts/101/101-0274.htm","Signed Public Act")</x:f>
        <x:v>HYPERLINK is not implemented. linkLocation=https://www.ilga.gov/ftp/Public%20Acts/101/101-0274.htm, friendlyName=Signed Public Act</x:v>
      </x:c>
      <x:c r="S13" s="24" t="e">
        <x:f>HYPERLINK("https://legiscan.com/IL/bill/HB2931/2019","Signing history")</x:f>
        <x:v>HYPERLINK is not implemented. linkLocation=https://legiscan.com/IL/bill/HB2931/2019, friendlyName=Signing history</x:v>
      </x:c>
      <x:c r="T13" s="24" t="e">
        <x:f>HYPERLINK("https://files.illinoiscomptroller.gov/LocGovTIF/FY2025/01605030/25TIF01605030Roosevelt_Road_1.pdf","TIF annual reporting")</x:f>
        <x:v>HYPERLINK is not implemented. linkLocation=https://files.illinoiscomptroller.gov/LocGovTIF/FY2025/01605030/25TIF01605030Roosevelt_Road_1.pdf, friendlyName=TIF annual reporting</x:v>
      </x:c>
      <x:c r="U13" s="24" t="e">
        <x:f>HYPERLINK("https://illinoiscomptroller.gov/constituent-services/local-government/local-government-warehouse/landingpage?code=016%2F050%2F30","Municipal report index")</x:f>
        <x:v>HYPERLINK is not implemented. linkLocation=https://illinoiscomptroller.gov/constituent-services/local-government/local-government-warehouse/landingpage?code=016%2F050%2F30, friendlyName=Municipal report index</x:v>
      </x:c>
      <x:c r="V13" s="24" t="e">
        <x:f>HYPERLINK("https://news.wttw.com/sites/default/files/article/file-attachments/2024-tif-report.pdf#page=36","Financial source")</x:f>
        <x:v>HYPERLINK is not implemented. linkLocation=https://news.wttw.com/sites/default/files/article/file-attachments/2024-tif-report.pdf#page=36, friendlyName=Financial source</x:v>
      </x:c>
      <x:c r="W13" s="24" t="str">
        <x:v>Cook County Clerk 2024 TIF report; 03-0100-502; Berwyn - Roosevelt Road; PDF page 36</x:v>
      </x:c>
      <x:c r="X13" s="24" t="e">
        <x:f>HYPERLINK("https://www.ilga.gov/ftp/Public%20Acts/101/101-0274.htm","Name source")</x:f>
        <x:v>HYPERLINK is not implemented. linkLocation=https://www.ilga.gov/ftp/Public%20Acts/101/101-0274.htm, friendlyName=Name source</x:v>
      </x:c>
      <x:c r="Y13" s="1" t="n">
        <x:v>1</x:v>
      </x:c>
      <x:c r="Z13" s="1"/>
      <x:c r="AA13" s="1"/>
    </x:row>
    <x:row r="14" ht="54" customHeight="1">
      <x:c r="A14" s="12" t="n">
        <x:v>7</x:v>
      </x:c>
      <x:c r="B14" s="12" t="str">
        <x:v>HB 2931</x:v>
      </x:c>
      <x:c r="C14" s="12" t="str">
        <x:v>101-0274</x:v>
      </x:c>
      <x:c r="D14" s="17" t="d">
        <x:v>2019-08-09T00:00:00.000Z</x:v>
      </x:c>
      <x:c r="E14" s="18" t="str">
        <x:v>Hanover Park</x:v>
      </x:c>
      <x:c r="F14" s="13" t="str">
        <x:v>Village Center Tax Increment Financing Redevelopment Project Area (TIF # 3)</x:v>
      </x:c>
      <x:c r="G14" s="15" t="d">
        <x:v>2001-05-03T00:00:00.000Z</x:v>
      </x:c>
      <x:c r="H14" s="19" t="n">
        <x:v>23</x:v>
      </x:c>
      <x:c r="I14" s="19" t="n">
        <x:v>35</x:v>
      </x:c>
      <x:c r="J14" s="19" t="n">
        <x:v>12</x:v>
      </x:c>
      <x:c r="K14" s="19" t="str">
        <x:v>c(176)</x:v>
      </x:c>
      <x:c r="L14" s="12" t="str">
        <x:v>Tax year 2024</x:v>
      </x:c>
      <x:c r="M14" s="23" t="n">
        <x:v>2020813.41</x:v>
      </x:c>
      <x:c r="N14" s="22" t="n">
        <x:f>IF(ISNUMBER(M14),M14*J14,"")</x:f>
        <x:v>24249760.919999998</x:v>
      </x:c>
      <x:c r="O14" s="13" t="str">
        <x:v>Not determinable from extension law / TIF receipts alone</x:v>
      </x:c>
      <x:c r="P14" s="13" t="str"/>
      <x:c r="Q14" s="12" t="str"/>
      <x:c r="R14" s="24" t="e">
        <x:f>HYPERLINK("https://www.ilga.gov/ftp/Public%20Acts/101/101-0274.htm","Signed Public Act")</x:f>
        <x:v>HYPERLINK is not implemented. linkLocation=https://www.ilga.gov/ftp/Public%20Acts/101/101-0274.htm, friendlyName=Signed Public Act</x:v>
      </x:c>
      <x:c r="S14" s="24" t="e">
        <x:f>HYPERLINK("https://legiscan.com/IL/bill/HB2931/2019","Signing history")</x:f>
        <x:v>HYPERLINK is not implemented. linkLocation=https://legiscan.com/IL/bill/HB2931/2019, friendlyName=Signing history</x:v>
      </x:c>
      <x:c r="T14" s="24" t="e">
        <x:f>HYPERLINK("https://files.illinoiscomptroller.gov/LocGovTIF/FY2025/01622532/25TIF01622532Village_C_-_TIF_3_1.pdf","TIF annual reporting")</x:f>
        <x:v>HYPERLINK is not implemented. linkLocation=https://files.illinoiscomptroller.gov/LocGovTIF/FY2025/01622532/25TIF01622532Village_C_-_TIF_3_1.pdf, friendlyName=TIF annual reporting</x:v>
      </x:c>
      <x:c r="U14" s="24" t="e">
        <x:f>HYPERLINK("https://illinoiscomptroller.gov/constituent-services/local-government/local-government-warehouse/landingpage?code=016%2F225%2F32","Municipal report index")</x:f>
        <x:v>HYPERLINK is not implemented. linkLocation=https://illinoiscomptroller.gov/constituent-services/local-government/local-government-warehouse/landingpage?code=016%2F225%2F32, friendlyName=Municipal report index</x:v>
      </x:c>
      <x:c r="V14" s="24" t="e">
        <x:f>HYPERLINK("https://news.wttw.com/sites/default/files/article/file-attachments/2024-tif-report.pdf#page=50","Financial source")</x:f>
        <x:v>HYPERLINK is not implemented. linkLocation=https://news.wttw.com/sites/default/files/article/file-attachments/2024-tif-report.pdf#page=50, friendlyName=Financial source</x:v>
      </x:c>
      <x:c r="W14" s="24" t="str">
        <x:v>Cook County Clerk 2024 TIF report; 03-0500-502; Hanover Park - Village Center 3; PDF page 50</x:v>
      </x:c>
      <x:c r="X14" s="24" t="e">
        <x:f>HYPERLINK("https://www.ilga.gov/ftp/Public%20Acts/101/101-0274.htm","Name source")</x:f>
        <x:v>HYPERLINK is not implemented. linkLocation=https://www.ilga.gov/ftp/Public%20Acts/101/101-0274.htm, friendlyName=Name source</x:v>
      </x:c>
      <x:c r="Y14" s="1" t="n">
        <x:v>1</x:v>
      </x:c>
      <x:c r="Z14" s="1"/>
      <x:c r="AA14" s="1"/>
    </x:row>
    <x:row r="15" ht="54" customHeight="1">
      <x:c r="A15" s="12" t="n">
        <x:v>8</x:v>
      </x:c>
      <x:c r="B15" s="12" t="str">
        <x:v>SB 1042</x:v>
      </x:c>
      <x:c r="C15" s="12" t="str">
        <x:v>101-0618</x:v>
      </x:c>
      <x:c r="D15" s="17" t="d">
        <x:v>2019-12-20T00:00:00.000Z</x:v>
      </x:c>
      <x:c r="E15" s="18" t="str">
        <x:v>Savanna</x:v>
      </x:c>
      <x:c r="F15" s="13" t="str">
        <x:v>RPA</x:v>
      </x:c>
      <x:c r="G15" s="15" t="d">
        <x:v>1996-01-01T00:00:00.000Z</x:v>
      </x:c>
      <x:c r="H15" s="19" t="n">
        <x:v>23</x:v>
      </x:c>
      <x:c r="I15" s="19" t="n">
        <x:v>35</x:v>
      </x:c>
      <x:c r="J15" s="19" t="n">
        <x:v>12</x:v>
      </x:c>
      <x:c r="K15" s="19" t="str">
        <x:v>c(177)</x:v>
      </x:c>
      <x:c r="L15" s="12" t="str">
        <x:v>Fiscal year 2025</x:v>
      </x:c>
      <x:c r="M15" s="23" t="n">
        <x:v>73738</x:v>
      </x:c>
      <x:c r="N15" s="22" t="n">
        <x:f>IF(ISNUMBER(M15),M15*J15,"")</x:f>
        <x:v>884856</x:v>
      </x:c>
      <x:c r="O15" s="13" t="str">
        <x:v>Not determinable from extension law / TIF receipts alone</x:v>
      </x:c>
      <x:c r="P15" s="13" t="str"/>
      <x:c r="Q15" s="12" t="str"/>
      <x:c r="R15" s="24" t="e">
        <x:f>HYPERLINK("https://www.ilga.gov/ftp/Public%20Acts/101/101-0618.htm","Signed Public Act")</x:f>
        <x:v>HYPERLINK is not implemented. linkLocation=https://www.ilga.gov/ftp/Public%20Acts/101/101-0618.htm, friendlyName=Signed Public Act</x:v>
      </x:c>
      <x:c r="S15" s="24" t="e">
        <x:f>HYPERLINK("https://legiscan.com/IL/bill/SB1042/2019","Signing history")</x:f>
        <x:v>HYPERLINK is not implemented. linkLocation=https://legiscan.com/IL/bill/SB1042/2019, friendlyName=Signing history</x:v>
      </x:c>
      <x:c r="T15" s="24" t="e">
        <x:f>HYPERLINK("https://files.illinoiscomptroller.gov/LocGovTIF/FY2025/00803030/25TIF00803030RPA_1.pdf","TIF annual reporting")</x:f>
        <x:v>HYPERLINK is not implemented. linkLocation=https://files.illinoiscomptroller.gov/LocGovTIF/FY2025/00803030/25TIF00803030RPA_1.pdf, friendlyName=TIF annual reporting</x:v>
      </x:c>
      <x:c r="U15" s="24" t="e">
        <x:f>HYPERLINK("https://illinoiscomptroller.gov/constituent-services/local-government/local-government-warehouse/landingpage?code=008%2F030%2F30","Municipal report index")</x:f>
        <x:v>HYPERLINK is not implemented. linkLocation=https://illinoiscomptroller.gov/constituent-services/local-government/local-government-warehouse/landingpage?code=008%2F030%2F30, friendlyName=Municipal report index</x:v>
      </x:c>
      <x:c r="V15" s="24" t="e">
        <x:f>HYPERLINK("https://files.illinoiscomptroller.gov/LocGovTIF/FY2025/00803030/25TIF00803030RPA_1.pdf#page=3","Financial source")</x:f>
        <x:v>HYPERLINK is not implemented. linkLocation=https://files.illinoiscomptroller.gov/LocGovTIF/FY2025/00803030/25TIF00803030RPA_1.pdf#page=3, friendlyName=Financial source</x:v>
      </x:c>
      <x:c r="W15" s="24" t="str">
        <x:v>Municipal TIF annual report, section 3.1, current-year Property Tax Increment. FY 2025</x:v>
      </x:c>
      <x:c r="X15" s="24" t="e">
        <x:f>HYPERLINK("https://files.illinoiscomptroller.gov/LocGovTIF/FY2025/00803030/25TIF00803030RPA_1.pdf","Name source")</x:f>
        <x:v>HYPERLINK is not implemented. linkLocation=https://files.illinoiscomptroller.gov/LocGovTIF/FY2025/00803030/25TIF00803030RPA_1.pdf, friendlyName=Name source</x:v>
      </x:c>
      <x:c r="Y15" s="1" t="n">
        <x:v>1</x:v>
      </x:c>
      <x:c r="Z15" s="1"/>
      <x:c r="AA15" s="1"/>
    </x:row>
    <x:row r="16" ht="54" customHeight="1">
      <x:c r="A16" s="12" t="n">
        <x:v>9</x:v>
      </x:c>
      <x:c r="B16" s="12" t="str">
        <x:v>SB 2052</x:v>
      </x:c>
      <x:c r="C16" s="12" t="str">
        <x:v>101-0647</x:v>
      </x:c>
      <x:c r="D16" s="17" t="d">
        <x:v>2020-06-26T00:00:00.000Z</x:v>
      </x:c>
      <x:c r="E16" s="18" t="str">
        <x:v>Okawville</x:v>
      </x:c>
      <x:c r="F16" s="13" t="str">
        <x:v>Okawville TIF</x:v>
      </x:c>
      <x:c r="G16" s="15" t="d">
        <x:v>2002-01-28T00:00:00.000Z</x:v>
      </x:c>
      <x:c r="H16" s="19" t="n">
        <x:v>23</x:v>
      </x:c>
      <x:c r="I16" s="19" t="n">
        <x:v>35</x:v>
      </x:c>
      <x:c r="J16" s="19" t="n">
        <x:v>12</x:v>
      </x:c>
      <x:c r="K16" s="19" t="str">
        <x:v>c(178)</x:v>
      </x:c>
      <x:c r="L16" s="12" t="str">
        <x:v>Fiscal year 2026</x:v>
      </x:c>
      <x:c r="M16" s="23" t="n">
        <x:v>203892</x:v>
      </x:c>
      <x:c r="N16" s="22" t="n">
        <x:f>IF(ISNUMBER(M16),M16*J16,"")</x:f>
        <x:v>2446704</x:v>
      </x:c>
      <x:c r="O16" s="13" t="str">
        <x:v>Not determinable from extension law / TIF receipts alone</x:v>
      </x:c>
      <x:c r="P16" s="13" t="str"/>
      <x:c r="Q16" s="12" t="str"/>
      <x:c r="R16" s="24" t="e">
        <x:f>HYPERLINK("https://www.ilga.gov/ftp/Public%20Acts/101/101-0647.htm","Signed Public Act")</x:f>
        <x:v>HYPERLINK is not implemented. linkLocation=https://www.ilga.gov/ftp/Public%20Acts/101/101-0647.htm, friendlyName=Signed Public Act</x:v>
      </x:c>
      <x:c r="S16" s="24" t="e">
        <x:f>HYPERLINK("https://legiscan.com/IL/bill/SB2052/2019","Signing history")</x:f>
        <x:v>HYPERLINK is not implemented. linkLocation=https://legiscan.com/IL/bill/SB2052/2019, friendlyName=Signing history</x:v>
      </x:c>
      <x:c r="T16" s="24" t="e">
        <x:f>HYPERLINK("https://files.illinoiscomptroller.gov/LocGovTIF/FY2026/09504532/26TIF09504532Okawville_TIF_1.pdf","TIF annual reporting")</x:f>
        <x:v>HYPERLINK is not implemented. linkLocation=https://files.illinoiscomptroller.gov/LocGovTIF/FY2026/09504532/26TIF09504532Okawville_TIF_1.pdf, friendlyName=TIF annual reporting</x:v>
      </x:c>
      <x:c r="U16" s="24" t="e">
        <x:f>HYPERLINK("https://illinoiscomptroller.gov/constituent-services/local-government/local-government-warehouse/landingpage?code=095%2F045%2F32","Municipal report index")</x:f>
        <x:v>HYPERLINK is not implemented. linkLocation=https://illinoiscomptroller.gov/constituent-services/local-government/local-government-warehouse/landingpage?code=095%2F045%2F32, friendlyName=Municipal report index</x:v>
      </x:c>
      <x:c r="V16" s="24" t="e">
        <x:f>HYPERLINK("https://files.illinoiscomptroller.gov/LocGovTIF/FY2026/09504532/26TIF09504532Okawville_TIF_1.pdf#page=3","Financial source")</x:f>
        <x:v>HYPERLINK is not implemented. linkLocation=https://files.illinoiscomptroller.gov/LocGovTIF/FY2026/09504532/26TIF09504532Okawville_TIF_1.pdf#page=3, friendlyName=Financial source</x:v>
      </x:c>
      <x:c r="W16" s="24" t="str">
        <x:v>Municipal TIF annual report, section 3.1, current-year Property Tax Increment. FY 2026</x:v>
      </x:c>
      <x:c r="X16" s="24" t="e">
        <x:f>HYPERLINK("https://files.illinoiscomptroller.gov/LocGovTIF/FY2026/09504532/26TIF09504532Okawville_TIF_1.pdf","Name source")</x:f>
        <x:v>HYPERLINK is not implemented. linkLocation=https://files.illinoiscomptroller.gov/LocGovTIF/FY2026/09504532/26TIF09504532Okawville_TIF_1.pdf, friendlyName=Name source</x:v>
      </x:c>
      <x:c r="Y16" s="1" t="n">
        <x:v>1</x:v>
      </x:c>
      <x:c r="Z16" s="1"/>
      <x:c r="AA16" s="1"/>
    </x:row>
    <x:row r="17" ht="54" customHeight="1">
      <x:c r="A17" s="12" t="n">
        <x:v>10</x:v>
      </x:c>
      <x:c r="B17" s="12" t="str">
        <x:v>SB 2052</x:v>
      </x:c>
      <x:c r="C17" s="12" t="str">
        <x:v>101-0647</x:v>
      </x:c>
      <x:c r="D17" s="17" t="d">
        <x:v>2020-06-26T00:00:00.000Z</x:v>
      </x:c>
      <x:c r="E17" s="18" t="str">
        <x:v>Vandalia</x:v>
      </x:c>
      <x:c r="F17" s="13" t="str">
        <x:v>TIF 1</x:v>
      </x:c>
      <x:c r="G17" s="15" t="d">
        <x:v>1999-10-04T00:00:00.000Z</x:v>
      </x:c>
      <x:c r="H17" s="19" t="n">
        <x:v>23</x:v>
      </x:c>
      <x:c r="I17" s="19" t="n">
        <x:v>35</x:v>
      </x:c>
      <x:c r="J17" s="19" t="n">
        <x:v>12</x:v>
      </x:c>
      <x:c r="K17" s="19" t="str">
        <x:v>c(179)</x:v>
      </x:c>
      <x:c r="L17" s="12" t="str">
        <x:v>Fiscal year 2025</x:v>
      </x:c>
      <x:c r="M17" s="23" t="n">
        <x:v>780168</x:v>
      </x:c>
      <x:c r="N17" s="22" t="n">
        <x:f>IF(ISNUMBER(M17),M17*J17,"")</x:f>
        <x:v>9362016</x:v>
      </x:c>
      <x:c r="O17" s="13" t="str">
        <x:v>Not determinable from extension law / TIF receipts alone</x:v>
      </x:c>
      <x:c r="P17" s="13" t="str"/>
      <x:c r="Q17" s="12" t="str"/>
      <x:c r="R17" s="24" t="e">
        <x:f>HYPERLINK("https://www.ilga.gov/ftp/Public%20Acts/101/101-0647.htm","Signed Public Act")</x:f>
        <x:v>HYPERLINK is not implemented. linkLocation=https://www.ilga.gov/ftp/Public%20Acts/101/101-0647.htm, friendlyName=Signed Public Act</x:v>
      </x:c>
      <x:c r="S17" s="24" t="e">
        <x:f>HYPERLINK("https://legiscan.com/IL/bill/SB2052/2019","Signing history")</x:f>
        <x:v>HYPERLINK is not implemented. linkLocation=https://legiscan.com/IL/bill/SB2052/2019, friendlyName=Signing history</x:v>
      </x:c>
      <x:c r="T17" s="24" t="e">
        <x:f>HYPERLINK("https://files.illinoiscomptroller.gov/LocGovTIF/FY2025/02604030/25TIF02604030TIF_1_1.pdf","TIF annual reporting")</x:f>
        <x:v>HYPERLINK is not implemented. linkLocation=https://files.illinoiscomptroller.gov/LocGovTIF/FY2025/02604030/25TIF02604030TIF_1_1.pdf, friendlyName=TIF annual reporting</x:v>
      </x:c>
      <x:c r="U17" s="24" t="e">
        <x:f>HYPERLINK("https://illinoiscomptroller.gov/constituent-services/local-government/local-government-warehouse/landingpage?code=026%2F040%2F30","Municipal report index")</x:f>
        <x:v>HYPERLINK is not implemented. linkLocation=https://illinoiscomptroller.gov/constituent-services/local-government/local-government-warehouse/landingpage?code=026%2F040%2F30, friendlyName=Municipal report index</x:v>
      </x:c>
      <x:c r="V17" s="24" t="e">
        <x:f>HYPERLINK("https://files.illinoiscomptroller.gov/LocGovTIF/FY2025/02604030/25TIF02604030TIF_1_1.pdf#page=3","Financial source")</x:f>
        <x:v>HYPERLINK is not implemented. linkLocation=https://files.illinoiscomptroller.gov/LocGovTIF/FY2025/02604030/25TIF02604030TIF_1_1.pdf#page=3, friendlyName=Financial source</x:v>
      </x:c>
      <x:c r="W17" s="24" t="str">
        <x:v>Municipal TIF annual report, section 3.1, current-year Property Tax Increment. FY 2025</x:v>
      </x:c>
      <x:c r="X17" s="24" t="e">
        <x:f>HYPERLINK("https://files.illinoiscomptroller.gov/LocGovTIF/FY2025/02604030/25TIF02604030TIF_1_1.pdf","Name source")</x:f>
        <x:v>HYPERLINK is not implemented. linkLocation=https://files.illinoiscomptroller.gov/LocGovTIF/FY2025/02604030/25TIF02604030TIF_1_1.pdf, friendlyName=Name source</x:v>
      </x:c>
      <x:c r="Y17" s="1" t="n">
        <x:v>1</x:v>
      </x:c>
      <x:c r="Z17" s="1"/>
      <x:c r="AA17" s="1"/>
    </x:row>
    <x:row r="18" ht="54" customHeight="1">
      <x:c r="A18" s="12" t="n">
        <x:v>11</x:v>
      </x:c>
      <x:c r="B18" s="12" t="str">
        <x:v>SB 2052</x:v>
      </x:c>
      <x:c r="C18" s="12" t="str">
        <x:v>101-0647</x:v>
      </x:c>
      <x:c r="D18" s="17" t="d">
        <x:v>2020-06-26T00:00:00.000Z</x:v>
      </x:c>
      <x:c r="E18" s="18" t="str">
        <x:v>Rushville</x:v>
      </x:c>
      <x:c r="F18" s="13" t="str">
        <x:v>Redevelopment Project Area 1</x:v>
      </x:c>
      <x:c r="G18" s="15" t="d">
        <x:v>2003-06-16T00:00:00.000Z</x:v>
      </x:c>
      <x:c r="H18" s="19" t="n">
        <x:v>23</x:v>
      </x:c>
      <x:c r="I18" s="19" t="n">
        <x:v>35</x:v>
      </x:c>
      <x:c r="J18" s="19" t="n">
        <x:v>12</x:v>
      </x:c>
      <x:c r="K18" s="19" t="str">
        <x:v>c(180)</x:v>
      </x:c>
      <x:c r="L18" s="12" t="str">
        <x:v>Fiscal year 2025</x:v>
      </x:c>
      <x:c r="M18" s="23" t="n">
        <x:v>220825</x:v>
      </x:c>
      <x:c r="N18" s="22" t="n">
        <x:f>IF(ISNUMBER(M18),M18*J18,"")</x:f>
        <x:v>2649900</x:v>
      </x:c>
      <x:c r="O18" s="13" t="str">
        <x:v>Not determinable from extension law / TIF receipts alone</x:v>
      </x:c>
      <x:c r="P18" s="13" t="str"/>
      <x:c r="Q18" s="12" t="str"/>
      <x:c r="R18" s="24" t="e">
        <x:f>HYPERLINK("https://www.ilga.gov/ftp/Public%20Acts/101/101-0647.htm","Signed Public Act")</x:f>
        <x:v>HYPERLINK is not implemented. linkLocation=https://www.ilga.gov/ftp/Public%20Acts/101/101-0647.htm, friendlyName=Signed Public Act</x:v>
      </x:c>
      <x:c r="S18" s="24" t="e">
        <x:f>HYPERLINK("https://legiscan.com/IL/bill/SB2052/2019","Signing history")</x:f>
        <x:v>HYPERLINK is not implemented. linkLocation=https://legiscan.com/IL/bill/SB2052/2019, friendlyName=Signing history</x:v>
      </x:c>
      <x:c r="T18" s="24" t="e">
        <x:f>HYPERLINK("https://files.illinoiscomptroller.gov/LocGovTIF/FY2025/08402530/25TIF08402530Redevelopt_Area_1_1.pdf","TIF annual reporting")</x:f>
        <x:v>HYPERLINK is not implemented. linkLocation=https://files.illinoiscomptroller.gov/LocGovTIF/FY2025/08402530/25TIF08402530Redevelopt_Area_1_1.pdf, friendlyName=TIF annual reporting</x:v>
      </x:c>
      <x:c r="U18" s="24" t="e">
        <x:f>HYPERLINK("https://illinoiscomptroller.gov/constituent-services/local-government/local-government-warehouse/landingpage?code=084%2F025%2F30","Municipal report index")</x:f>
        <x:v>HYPERLINK is not implemented. linkLocation=https://illinoiscomptroller.gov/constituent-services/local-government/local-government-warehouse/landingpage?code=084%2F025%2F30, friendlyName=Municipal report index</x:v>
      </x:c>
      <x:c r="V18" s="24" t="e">
        <x:f>HYPERLINK("https://files.illinoiscomptroller.gov/LocGovTIF/FY2025/08402530/25TIF08402530Redevelopt_Area_1_1.pdf#page=3","Financial source")</x:f>
        <x:v>HYPERLINK is not implemented. linkLocation=https://files.illinoiscomptroller.gov/LocGovTIF/FY2025/08402530/25TIF08402530Redevelopt_Area_1_1.pdf#page=3, friendlyName=Financial source</x:v>
      </x:c>
      <x:c r="W18" s="24" t="str">
        <x:v>Municipal TIF annual report, section 3.1, current-year Property Tax Increment. FY 2025</x:v>
      </x:c>
      <x:c r="X18" s="24" t="e">
        <x:f>HYPERLINK("https://files.illinoiscomptroller.gov/LocGovTIF/FY2025/08402530/25TIF08402530Redevelopt_Area_1_1.pdf","Name source")</x:f>
        <x:v>HYPERLINK is not implemented. linkLocation=https://files.illinoiscomptroller.gov/LocGovTIF/FY2025/08402530/25TIF08402530Redevelopt_Area_1_1.pdf, friendlyName=Name source</x:v>
      </x:c>
      <x:c r="Y18" s="1" t="n">
        <x:v>1</x:v>
      </x:c>
      <x:c r="Z18" s="1"/>
      <x:c r="AA18" s="1"/>
    </x:row>
    <x:row r="19" ht="54" customHeight="1">
      <x:c r="A19" s="12" t="n">
        <x:v>12</x:v>
      </x:c>
      <x:c r="B19" s="12" t="str">
        <x:v>SB 2052</x:v>
      </x:c>
      <x:c r="C19" s="12" t="str">
        <x:v>101-0647</x:v>
      </x:c>
      <x:c r="D19" s="17" t="d">
        <x:v>2020-06-26T00:00:00.000Z</x:v>
      </x:c>
      <x:c r="E19" s="18" t="str">
        <x:v>Quincy</x:v>
      </x:c>
      <x:c r="F19" s="13" t="str">
        <x:v>Central Business District West Tax Increment Redevelopment Project Area</x:v>
      </x:c>
      <x:c r="G19" s="15" t="d">
        <x:v>1998-12-07T00:00:00.000Z</x:v>
      </x:c>
      <x:c r="H19" s="19" t="n">
        <x:v>23</x:v>
      </x:c>
      <x:c r="I19" s="19" t="n">
        <x:v>35</x:v>
      </x:c>
      <x:c r="J19" s="19" t="n">
        <x:v>12</x:v>
      </x:c>
      <x:c r="K19" s="19" t="str">
        <x:v>c(181)</x:v>
      </x:c>
      <x:c r="L19" s="12" t="str">
        <x:v>Fiscal year 2025</x:v>
      </x:c>
      <x:c r="M19" s="23" t="n">
        <x:v>698350</x:v>
      </x:c>
      <x:c r="N19" s="22" t="n">
        <x:f>IF(ISNUMBER(M19),M19*J19,"")</x:f>
        <x:v>8380200</x:v>
      </x:c>
      <x:c r="O19" s="13" t="str">
        <x:v>Not determinable from extension law / TIF receipts alone</x:v>
      </x:c>
      <x:c r="P19" s="25" t="str">
        <x:v>Report name is Quincy TIF RPA 2; law names Central Business District West.</x:v>
      </x:c>
      <x:c r="Q19" s="12" t="str"/>
      <x:c r="R19" s="24" t="e">
        <x:f>HYPERLINK("https://www.ilga.gov/ftp/Public%20Acts/101/101-0647.htm","Signed Public Act")</x:f>
        <x:v>HYPERLINK is not implemented. linkLocation=https://www.ilga.gov/ftp/Public%20Acts/101/101-0647.htm, friendlyName=Signed Public Act</x:v>
      </x:c>
      <x:c r="S19" s="24" t="e">
        <x:f>HYPERLINK("https://legiscan.com/IL/bill/SB2052/2019","Signing history")</x:f>
        <x:v>HYPERLINK is not implemented. linkLocation=https://legiscan.com/IL/bill/SB2052/2019, friendlyName=Signing history</x:v>
      </x:c>
      <x:c r="T19" s="24" t="e">
        <x:f>HYPERLINK("https://files.illinoiscomptroller.gov/LocGovTIF/FY2025/00107030/25TIF00107030Quincy_TIF_RPA_2_1.pdf","TIF annual reporting")</x:f>
        <x:v>HYPERLINK is not implemented. linkLocation=https://files.illinoiscomptroller.gov/LocGovTIF/FY2025/00107030/25TIF00107030Quincy_TIF_RPA_2_1.pdf, friendlyName=TIF annual reporting</x:v>
      </x:c>
      <x:c r="U19" s="24" t="e">
        <x:f>HYPERLINK("https://illinoiscomptroller.gov/constituent-services/local-government/local-government-warehouse/landingpage?code=001%2F070%2F30","Municipal report index")</x:f>
        <x:v>HYPERLINK is not implemented. linkLocation=https://illinoiscomptroller.gov/constituent-services/local-government/local-government-warehouse/landingpage?code=001%2F070%2F30, friendlyName=Municipal report index</x:v>
      </x:c>
      <x:c r="V19" s="24" t="e">
        <x:f>HYPERLINK("https://files.illinoiscomptroller.gov/LocGovTIF/FY2025/00107030/25TIF00107030Quincy_TIF_RPA_2_1.pdf#page=3","Financial source")</x:f>
        <x:v>HYPERLINK is not implemented. linkLocation=https://files.illinoiscomptroller.gov/LocGovTIF/FY2025/00107030/25TIF00107030Quincy_TIF_RPA_2_1.pdf#page=3, friendlyName=Financial source</x:v>
      </x:c>
      <x:c r="W19" s="24" t="str">
        <x:v>Municipal TIF annual report, section 3.1, current-year Property Tax Increment. FY 2025</x:v>
      </x:c>
      <x:c r="X19" s="24" t="e">
        <x:f>HYPERLINK("https://www.ilga.gov/ftp/Public%20Acts/101/101-0647.htm","Name source")</x:f>
        <x:v>HYPERLINK is not implemented. linkLocation=https://www.ilga.gov/ftp/Public%20Acts/101/101-0647.htm, friendlyName=Name source</x:v>
      </x:c>
      <x:c r="Y19" s="1" t="n">
        <x:v>1</x:v>
      </x:c>
      <x:c r="Z19" s="1"/>
      <x:c r="AA19" s="1"/>
    </x:row>
    <x:row r="20" ht="54" customHeight="1">
      <x:c r="A20" s="12" t="n">
        <x:v>13</x:v>
      </x:c>
      <x:c r="B20" s="12" t="str">
        <x:v>SB 2052</x:v>
      </x:c>
      <x:c r="C20" s="12" t="str">
        <x:v>101-0647</x:v>
      </x:c>
      <x:c r="D20" s="17" t="d">
        <x:v>2020-06-26T00:00:00.000Z</x:v>
      </x:c>
      <x:c r="E20" s="18" t="str">
        <x:v>Maywood</x:v>
      </x:c>
      <x:c r="F20" s="13" t="str">
        <x:v>Roosevelt Road TIF District</x:v>
      </x:c>
      <x:c r="G20" s="15" t="d">
        <x:v>1997-03-27T00:00:00.000Z</x:v>
      </x:c>
      <x:c r="H20" s="19" t="n">
        <x:v>23</x:v>
      </x:c>
      <x:c r="I20" s="19" t="n">
        <x:v>35</x:v>
      </x:c>
      <x:c r="J20" s="19" t="n">
        <x:v>12</x:v>
      </x:c>
      <x:c r="K20" s="19" t="str">
        <x:v>c(182)</x:v>
      </x:c>
      <x:c r="L20" s="12" t="str">
        <x:v>Tax year 2024</x:v>
      </x:c>
      <x:c r="M20" s="23" t="n">
        <x:v>830092.89</x:v>
      </x:c>
      <x:c r="N20" s="22" t="n">
        <x:f>IF(ISNUMBER(M20),M20*J20,"")</x:f>
        <x:v>9961114.68</x:v>
      </x:c>
      <x:c r="O20" s="13" t="str">
        <x:v>Not determinable from extension law / TIF receipts alone</x:v>
      </x:c>
      <x:c r="P20" s="13" t="str"/>
      <x:c r="Q20" s="12" t="str"/>
      <x:c r="R20" s="24" t="e">
        <x:f>HYPERLINK("https://www.ilga.gov/ftp/Public%20Acts/101/101-0647.htm","Signed Public Act")</x:f>
        <x:v>HYPERLINK is not implemented. linkLocation=https://www.ilga.gov/ftp/Public%20Acts/101/101-0647.htm, friendlyName=Signed Public Act</x:v>
      </x:c>
      <x:c r="S20" s="24" t="e">
        <x:f>HYPERLINK("https://legiscan.com/IL/bill/SB2052/2019","Signing history")</x:f>
        <x:v>HYPERLINK is not implemented. linkLocation=https://legiscan.com/IL/bill/SB2052/2019, friendlyName=Signing history</x:v>
      </x:c>
      <x:c r="T20" s="24" t="e">
        <x:f>HYPERLINK("https://files.illinoiscomptroller.gov/LocGovTIF/FY2024/01634532/24TIF01634532Roosevelt_Road_1.pdf","TIF annual reporting")</x:f>
        <x:v>HYPERLINK is not implemented. linkLocation=https://files.illinoiscomptroller.gov/LocGovTIF/FY2024/01634532/24TIF01634532Roosevelt_Road_1.pdf, friendlyName=TIF annual reporting</x:v>
      </x:c>
      <x:c r="U20" s="24" t="e">
        <x:f>HYPERLINK("https://illinoiscomptroller.gov/constituent-services/local-government/local-government-warehouse/landingpage?code=016%2F345%2F32","Municipal report index")</x:f>
        <x:v>HYPERLINK is not implemented. linkLocation=https://illinoiscomptroller.gov/constituent-services/local-government/local-government-warehouse/landingpage?code=016%2F345%2F32, friendlyName=Municipal report index</x:v>
      </x:c>
      <x:c r="V20" s="24" t="e">
        <x:f>HYPERLINK("https://news.wttw.com/sites/default/files/article/file-attachments/2024-tif-report.pdf#page=55","Financial source")</x:f>
        <x:v>HYPERLINK is not implemented. linkLocation=https://news.wttw.com/sites/default/files/article/file-attachments/2024-tif-report.pdf#page=55, friendlyName=Financial source</x:v>
      </x:c>
      <x:c r="W20" s="24" t="str">
        <x:v>Cook County Clerk 2024 TIF report; 03-0750-502; Maywood - Roosevelt Road; PDF page 55</x:v>
      </x:c>
      <x:c r="X20" s="24" t="e">
        <x:f>HYPERLINK("https://www.ilga.gov/ftp/Public%20Acts/101/101-0647.htm","Name source")</x:f>
        <x:v>HYPERLINK is not implemented. linkLocation=https://www.ilga.gov/ftp/Public%20Acts/101/101-0647.htm, friendlyName=Name source</x:v>
      </x:c>
      <x:c r="Y20" s="1" t="n">
        <x:v>1</x:v>
      </x:c>
      <x:c r="Z20" s="1"/>
      <x:c r="AA20" s="1"/>
    </x:row>
    <x:row r="21" ht="54" customHeight="1">
      <x:c r="A21" s="12" t="n">
        <x:v>14</x:v>
      </x:c>
      <x:c r="B21" s="12" t="str">
        <x:v>SB 2052</x:v>
      </x:c>
      <x:c r="C21" s="12" t="str">
        <x:v>101-0647</x:v>
      </x:c>
      <x:c r="D21" s="17" t="d">
        <x:v>2020-06-26T00:00:00.000Z</x:v>
      </x:c>
      <x:c r="E21" s="18" t="str">
        <x:v>Maywood</x:v>
      </x:c>
      <x:c r="F21" s="13" t="str">
        <x:v>Madison Street/Fifth Avenue TIF District</x:v>
      </x:c>
      <x:c r="G21" s="15" t="d">
        <x:v>1997-03-27T00:00:00.000Z</x:v>
      </x:c>
      <x:c r="H21" s="19" t="n">
        <x:v>23</x:v>
      </x:c>
      <x:c r="I21" s="19" t="n">
        <x:v>35</x:v>
      </x:c>
      <x:c r="J21" s="19" t="n">
        <x:v>12</x:v>
      </x:c>
      <x:c r="K21" s="19" t="str">
        <x:v>c(183)</x:v>
      </x:c>
      <x:c r="L21" s="12" t="str">
        <x:v>Tax year 2024</x:v>
      </x:c>
      <x:c r="M21" s="23" t="n">
        <x:v>6518741.63</x:v>
      </x:c>
      <x:c r="N21" s="22" t="n">
        <x:f>IF(ISNUMBER(M21),M21*J21,"")</x:f>
        <x:v>78224899.56</x:v>
      </x:c>
      <x:c r="O21" s="13" t="str">
        <x:v>Not determinable from extension law / TIF receipts alone</x:v>
      </x:c>
      <x:c r="P21" s="13" t="str"/>
      <x:c r="Q21" s="12" t="str"/>
      <x:c r="R21" s="24" t="e">
        <x:f>HYPERLINK("https://www.ilga.gov/ftp/Public%20Acts/101/101-0647.htm","Signed Public Act")</x:f>
        <x:v>HYPERLINK is not implemented. linkLocation=https://www.ilga.gov/ftp/Public%20Acts/101/101-0647.htm, friendlyName=Signed Public Act</x:v>
      </x:c>
      <x:c r="S21" s="24" t="e">
        <x:f>HYPERLINK("https://legiscan.com/IL/bill/SB2052/2019","Signing history")</x:f>
        <x:v>HYPERLINK is not implemented. linkLocation=https://legiscan.com/IL/bill/SB2052/2019, friendlyName=Signing history</x:v>
      </x:c>
      <x:c r="T21" s="24" t="e">
        <x:f>HYPERLINK("https://files.illinoiscomptroller.gov/LocGovTIF/FY2024/01634532/24TIF01634532Madison_S5th_Ave._1.pdf","TIF annual reporting")</x:f>
        <x:v>HYPERLINK is not implemented. linkLocation=https://files.illinoiscomptroller.gov/LocGovTIF/FY2024/01634532/24TIF01634532Madison_S5th_Ave._1.pdf, friendlyName=TIF annual reporting</x:v>
      </x:c>
      <x:c r="U21" s="24" t="e">
        <x:f>HYPERLINK("https://illinoiscomptroller.gov/constituent-services/local-government/local-government-warehouse/landingpage?code=016%2F345%2F32","Municipal report index")</x:f>
        <x:v>HYPERLINK is not implemented. linkLocation=https://illinoiscomptroller.gov/constituent-services/local-government/local-government-warehouse/landingpage?code=016%2F345%2F32, friendlyName=Municipal report index</x:v>
      </x:c>
      <x:c r="V21" s="24" t="e">
        <x:f>HYPERLINK("https://news.wttw.com/sites/default/files/article/file-attachments/2024-tif-report.pdf#page=55","Financial source")</x:f>
        <x:v>HYPERLINK is not implemented. linkLocation=https://news.wttw.com/sites/default/files/article/file-attachments/2024-tif-report.pdf#page=55, friendlyName=Financial source</x:v>
      </x:c>
      <x:c r="W21" s="24" t="str">
        <x:v>Cook County Clerk 2024 TIF report; 03-0750-501; Maywood - Madison Street / Fifth Avenue; PDF page 55</x:v>
      </x:c>
      <x:c r="X21" s="24" t="e">
        <x:f>HYPERLINK("https://www.ilga.gov/ftp/Public%20Acts/101/101-0647.htm","Name source")</x:f>
        <x:v>HYPERLINK is not implemented. linkLocation=https://www.ilga.gov/ftp/Public%20Acts/101/101-0647.htm, friendlyName=Name source</x:v>
      </x:c>
      <x:c r="Y21" s="1" t="n">
        <x:v>1</x:v>
      </x:c>
      <x:c r="Z21" s="1"/>
      <x:c r="AA21" s="1"/>
    </x:row>
    <x:row r="22" ht="54" customHeight="1">
      <x:c r="A22" s="12" t="n">
        <x:v>15</x:v>
      </x:c>
      <x:c r="B22" s="12" t="str">
        <x:v>SB 2052</x:v>
      </x:c>
      <x:c r="C22" s="12" t="str">
        <x:v>101-0647</x:v>
      </x:c>
      <x:c r="D22" s="17" t="d">
        <x:v>2020-06-26T00:00:00.000Z</x:v>
      </x:c>
      <x:c r="E22" s="18" t="str">
        <x:v>Park Forest</x:v>
      </x:c>
      <x:c r="F22" s="13" t="str">
        <x:v>Downtown</x:v>
      </x:c>
      <x:c r="G22" s="15" t="d">
        <x:v>1997-11-10T00:00:00.000Z</x:v>
      </x:c>
      <x:c r="H22" s="19" t="n">
        <x:v>23</x:v>
      </x:c>
      <x:c r="I22" s="19" t="n">
        <x:v>35</x:v>
      </x:c>
      <x:c r="J22" s="19" t="n">
        <x:v>12</x:v>
      </x:c>
      <x:c r="K22" s="19" t="str">
        <x:v>c(184)</x:v>
      </x:c>
      <x:c r="L22" s="12" t="str">
        <x:v>Tax year 2024</x:v>
      </x:c>
      <x:c r="M22" s="23" t="n">
        <x:v>1324877.87</x:v>
      </x:c>
      <x:c r="N22" s="22" t="n">
        <x:f>IF(ISNUMBER(M22),M22*J22,"")</x:f>
        <x:v>15898534.440000001</x:v>
      </x:c>
      <x:c r="O22" s="13" t="str">
        <x:v>Not determinable from extension law / TIF receipts alone</x:v>
      </x:c>
      <x:c r="P22" s="13" t="str"/>
      <x:c r="Q22" s="12" t="str"/>
      <x:c r="R22" s="24" t="e">
        <x:f>HYPERLINK("https://www.ilga.gov/ftp/Public%20Acts/101/101-0647.htm","Signed Public Act")</x:f>
        <x:v>HYPERLINK is not implemented. linkLocation=https://www.ilga.gov/ftp/Public%20Acts/101/101-0647.htm, friendlyName=Signed Public Act</x:v>
      </x:c>
      <x:c r="S22" s="24" t="e">
        <x:f>HYPERLINK("https://legiscan.com/IL/bill/SB2052/2019","Signing history")</x:f>
        <x:v>HYPERLINK is not implemented. linkLocation=https://legiscan.com/IL/bill/SB2052/2019, friendlyName=Signing history</x:v>
      </x:c>
      <x:c r="T22" s="24" t="e">
        <x:f>HYPERLINK("https://files.illinoiscomptroller.gov/LocGovTIF/FY2025/01645032/25TIF01645032Downtown_1.pdf","TIF annual reporting")</x:f>
        <x:v>HYPERLINK is not implemented. linkLocation=https://files.illinoiscomptroller.gov/LocGovTIF/FY2025/01645032/25TIF01645032Downtown_1.pdf, friendlyName=TIF annual reporting</x:v>
      </x:c>
      <x:c r="U22" s="24" t="e">
        <x:f>HYPERLINK("https://illinoiscomptroller.gov/constituent-services/local-government/local-government-warehouse/landingpage?code=016%2F450%2F32","Municipal report index")</x:f>
        <x:v>HYPERLINK is not implemented. linkLocation=https://illinoiscomptroller.gov/constituent-services/local-government/local-government-warehouse/landingpage?code=016%2F450%2F32, friendlyName=Municipal report index</x:v>
      </x:c>
      <x:c r="V22" s="24" t="e">
        <x:f>HYPERLINK("https://news.wttw.com/sites/default/files/article/file-attachments/2024-tif-report.pdf#page=59","Financial source")</x:f>
        <x:v>HYPERLINK is not implemented. linkLocation=https://news.wttw.com/sites/default/files/article/file-attachments/2024-tif-report.pdf#page=59, friendlyName=Financial source</x:v>
      </x:c>
      <x:c r="W22" s="24" t="str">
        <x:v>Cook County Clerk 2024 TIF report; 03-1000-500; Park Forest - Downtown; PDF page 59</x:v>
      </x:c>
      <x:c r="X22" s="24" t="e">
        <x:f>HYPERLINK("https://files.illinoiscomptroller.gov/LocGovTIF/FY2025/01645032/25TIF01645032Downtown_1.pdf","Name source")</x:f>
        <x:v>HYPERLINK is not implemented. linkLocation=https://files.illinoiscomptroller.gov/LocGovTIF/FY2025/01645032/25TIF01645032Downtown_1.pdf, friendlyName=Name source</x:v>
      </x:c>
      <x:c r="Y22" s="1" t="n">
        <x:v>1</x:v>
      </x:c>
      <x:c r="Z22" s="1"/>
      <x:c r="AA22" s="1"/>
    </x:row>
    <x:row r="23" ht="54" customHeight="1">
      <x:c r="A23" s="12" t="n">
        <x:v>16</x:v>
      </x:c>
      <x:c r="B23" s="12" t="str">
        <x:v>SB 2052</x:v>
      </x:c>
      <x:c r="C23" s="12" t="str">
        <x:v>101-0647</x:v>
      </x:c>
      <x:c r="D23" s="17" t="d">
        <x:v>2020-06-26T00:00:00.000Z</x:v>
      </x:c>
      <x:c r="E23" s="18" t="str">
        <x:v>Chicago</x:v>
      </x:c>
      <x:c r="F23" s="13" t="str">
        <x:v>Near North TIF district</x:v>
      </x:c>
      <x:c r="G23" s="15" t="d">
        <x:v>1997-07-30T00:00:00.000Z</x:v>
      </x:c>
      <x:c r="H23" s="19" t="n">
        <x:v>23</x:v>
      </x:c>
      <x:c r="I23" s="19" t="n">
        <x:v>35</x:v>
      </x:c>
      <x:c r="J23" s="19" t="n">
        <x:v>12</x:v>
      </x:c>
      <x:c r="K23" s="19" t="str">
        <x:v>c(185)</x:v>
      </x:c>
      <x:c r="L23" s="12" t="str">
        <x:v>Tax year 2024</x:v>
      </x:c>
      <x:c r="M23" s="23" t="n">
        <x:v>45828863.57</x:v>
      </x:c>
      <x:c r="N23" s="22" t="n">
        <x:f>IF(ISNUMBER(M23),M23*J23,"")</x:f>
        <x:v>549946362.84</x:v>
      </x:c>
      <x:c r="O23" s="13" t="str">
        <x:v>Not determinable from extension law / TIF receipts alone</x:v>
      </x:c>
      <x:c r="P23" s="13" t="str"/>
      <x:c r="Q23" s="12" t="str"/>
      <x:c r="R23" s="24" t="e">
        <x:f>HYPERLINK("https://www.ilga.gov/ftp/Public%20Acts/101/101-0647.htm","Signed Public Act")</x:f>
        <x:v>HYPERLINK is not implemented. linkLocation=https://www.ilga.gov/ftp/Public%20Acts/101/101-0647.htm, friendlyName=Signed Public Act</x:v>
      </x:c>
      <x:c r="S23" s="24" t="e">
        <x:f>HYPERLINK("https://legiscan.com/IL/bill/SB2052/2019","Signing history")</x:f>
        <x:v>HYPERLINK is not implemented. linkLocation=https://legiscan.com/IL/bill/SB2052/2019, friendlyName=Signing history</x:v>
      </x:c>
      <x:c r="T23"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23"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23" s="24" t="e">
        <x:f>HYPERLINK("https://news.wttw.com/sites/default/files/article/file-attachments/2024-tif-report.pdf#page=40","Financial source")</x:f>
        <x:v>HYPERLINK is not implemented. linkLocation=https://news.wttw.com/sites/default/files/article/file-attachments/2024-tif-report.pdf#page=40, friendlyName=Financial source</x:v>
      </x:c>
      <x:c r="W23" s="24" t="str">
        <x:v>Cook County Clerk 2024 TIF report; 03-0210-572; Chicago - Near North; PDF page 40</x:v>
      </x:c>
      <x:c r="X23" s="24" t="e">
        <x:f>HYPERLINK("https://www.ilga.gov/ftp/Public%20Acts/101/101-0647.htm","Name source")</x:f>
        <x:v>HYPERLINK is not implemented. linkLocation=https://www.ilga.gov/ftp/Public%20Acts/101/101-0647.htm, friendlyName=Name source</x:v>
      </x:c>
      <x:c r="Y23" s="1" t="n">
        <x:v>1</x:v>
      </x:c>
      <x:c r="Z23" s="1"/>
      <x:c r="AA23" s="1"/>
    </x:row>
    <x:row r="24" ht="54" customHeight="1">
      <x:c r="A24" s="12" t="n">
        <x:v>17</x:v>
      </x:c>
      <x:c r="B24" s="12" t="str">
        <x:v>SB 2052</x:v>
      </x:c>
      <x:c r="C24" s="12" t="str">
        <x:v>101-0647</x:v>
      </x:c>
      <x:c r="D24" s="17" t="d">
        <x:v>2020-06-26T00:00:00.000Z</x:v>
      </x:c>
      <x:c r="E24" s="18" t="str">
        <x:v>Mahomet</x:v>
      </x:c>
      <x:c r="F24" s="13" t="str">
        <x:v>East Mahomet</x:v>
      </x:c>
      <x:c r="G24" s="15" t="d">
        <x:v>2000-12-01T00:00:00.000Z</x:v>
      </x:c>
      <x:c r="H24" s="19" t="n">
        <x:v>23</x:v>
      </x:c>
      <x:c r="I24" s="19" t="n">
        <x:v>35</x:v>
      </x:c>
      <x:c r="J24" s="19" t="n">
        <x:v>12</x:v>
      </x:c>
      <x:c r="K24" s="19" t="str">
        <x:v>c(186)</x:v>
      </x:c>
      <x:c r="L24" s="12" t="str">
        <x:v>Fiscal year 2025</x:v>
      </x:c>
      <x:c r="M24" s="23" t="n">
        <x:v>3806780</x:v>
      </x:c>
      <x:c r="N24" s="22" t="n">
        <x:f>IF(ISNUMBER(M24),M24*J24,"")</x:f>
        <x:v>45681360</x:v>
      </x:c>
      <x:c r="O24" s="13" t="str">
        <x:v>Not determinable from extension law / TIF receipts alone</x:v>
      </x:c>
      <x:c r="P24" s="13" t="str"/>
      <x:c r="Q24" s="12" t="str"/>
      <x:c r="R24" s="24" t="e">
        <x:f>HYPERLINK("https://www.ilga.gov/ftp/Public%20Acts/101/101-0647.htm","Signed Public Act")</x:f>
        <x:v>HYPERLINK is not implemented. linkLocation=https://www.ilga.gov/ftp/Public%20Acts/101/101-0647.htm, friendlyName=Signed Public Act</x:v>
      </x:c>
      <x:c r="S24" s="24" t="e">
        <x:f>HYPERLINK("https://legiscan.com/IL/bill/SB2052/2019","Signing history")</x:f>
        <x:v>HYPERLINK is not implemented. linkLocation=https://legiscan.com/IL/bill/SB2052/2019, friendlyName=Signing history</x:v>
      </x:c>
      <x:c r="T24" s="24" t="e">
        <x:f>HYPERLINK("https://files.illinoiscomptroller.gov/LocGovTIF/FY2025/01006032/25TIF01006032East_Mahomet_1.pdf","TIF annual reporting")</x:f>
        <x:v>HYPERLINK is not implemented. linkLocation=https://files.illinoiscomptroller.gov/LocGovTIF/FY2025/01006032/25TIF01006032East_Mahomet_1.pdf, friendlyName=TIF annual reporting</x:v>
      </x:c>
      <x:c r="U24" s="24" t="e">
        <x:f>HYPERLINK("https://illinoiscomptroller.gov/constituent-services/local-government/local-government-warehouse/landingpage?code=010%2F060%2F32","Municipal report index")</x:f>
        <x:v>HYPERLINK is not implemented. linkLocation=https://illinoiscomptroller.gov/constituent-services/local-government/local-government-warehouse/landingpage?code=010%2F060%2F32, friendlyName=Municipal report index</x:v>
      </x:c>
      <x:c r="V24" s="24" t="e">
        <x:f>HYPERLINK("https://files.illinoiscomptroller.gov/LocGovTIF/FY2025/01006032/25TIF01006032East_Mahomet_1.pdf#page=3","Financial source")</x:f>
        <x:v>HYPERLINK is not implemented. linkLocation=https://files.illinoiscomptroller.gov/LocGovTIF/FY2025/01006032/25TIF01006032East_Mahomet_1.pdf#page=3, friendlyName=Financial source</x:v>
      </x:c>
      <x:c r="W24" s="24" t="str">
        <x:v>Municipal TIF annual report, section 3.1, current-year Property Tax Increment. FY 2025</x:v>
      </x:c>
      <x:c r="X24" s="24" t="e">
        <x:f>HYPERLINK("https://files.illinoiscomptroller.gov/LocGovTIF/FY2025/01006032/25TIF01006032East_Mahomet_1.pdf","Name source")</x:f>
        <x:v>HYPERLINK is not implemented. linkLocation=https://files.illinoiscomptroller.gov/LocGovTIF/FY2025/01006032/25TIF01006032East_Mahomet_1.pdf, friendlyName=Name source</x:v>
      </x:c>
      <x:c r="Y24" s="1" t="n">
        <x:v>1</x:v>
      </x:c>
      <x:c r="Z24" s="1"/>
      <x:c r="AA24" s="1"/>
    </x:row>
    <x:row r="25" ht="54" customHeight="1">
      <x:c r="A25" s="12" t="n">
        <x:v>18</x:v>
      </x:c>
      <x:c r="B25" s="12" t="str">
        <x:v>SB 2052</x:v>
      </x:c>
      <x:c r="C25" s="12" t="str">
        <x:v>101-0647</x:v>
      </x:c>
      <x:c r="D25" s="17" t="d">
        <x:v>2020-06-26T00:00:00.000Z</x:v>
      </x:c>
      <x:c r="E25" s="18" t="str">
        <x:v>Washburn</x:v>
      </x:c>
      <x:c r="F25" s="13" t="str">
        <x:v>TIF 1</x:v>
      </x:c>
      <x:c r="G25" s="15" t="d">
        <x:v>1999-06-16T00:00:00.000Z</x:v>
      </x:c>
      <x:c r="H25" s="19" t="n">
        <x:v>23</x:v>
      </x:c>
      <x:c r="I25" s="19" t="n">
        <x:v>35</x:v>
      </x:c>
      <x:c r="J25" s="19" t="n">
        <x:v>12</x:v>
      </x:c>
      <x:c r="K25" s="19" t="str">
        <x:v>c(187)</x:v>
      </x:c>
      <x:c r="L25" s="12" t="str">
        <x:v>Fiscal year 2025</x:v>
      </x:c>
      <x:c r="M25" s="23" t="n">
        <x:v>305067</x:v>
      </x:c>
      <x:c r="N25" s="22" t="n">
        <x:f>IF(ISNUMBER(M25),M25*J25,"")</x:f>
        <x:v>3660804</x:v>
      </x:c>
      <x:c r="O25" s="13" t="str">
        <x:v>Not determinable from extension law / TIF receipts alone</x:v>
      </x:c>
      <x:c r="P25" s="13" t="str"/>
      <x:c r="Q25" s="12" t="str"/>
      <x:c r="R25" s="24" t="e">
        <x:f>HYPERLINK("https://www.ilga.gov/ftp/Public%20Acts/101/101-0647.htm","Signed Public Act")</x:f>
        <x:v>HYPERLINK is not implemented. linkLocation=https://www.ilga.gov/ftp/Public%20Acts/101/101-0647.htm, friendlyName=Signed Public Act</x:v>
      </x:c>
      <x:c r="S25" s="24" t="e">
        <x:f>HYPERLINK("https://legiscan.com/IL/bill/SB2052/2019","Signing history")</x:f>
        <x:v>HYPERLINK is not implemented. linkLocation=https://legiscan.com/IL/bill/SB2052/2019, friendlyName=Signing history</x:v>
      </x:c>
      <x:c r="T25" s="24" t="e">
        <x:f>HYPERLINK("https://files.illinoiscomptroller.gov/LocGovTIF/FY2025/10207532/25TIF10207532TIF_1_1.pdf","TIF annual reporting")</x:f>
        <x:v>HYPERLINK is not implemented. linkLocation=https://files.illinoiscomptroller.gov/LocGovTIF/FY2025/10207532/25TIF10207532TIF_1_1.pdf, friendlyName=TIF annual reporting</x:v>
      </x:c>
      <x:c r="U25" s="24" t="e">
        <x:f>HYPERLINK("https://illinoiscomptroller.gov/constituent-services/local-government/local-government-warehouse/landingpage?code=102%2F075%2F32","Municipal report index")</x:f>
        <x:v>HYPERLINK is not implemented. linkLocation=https://illinoiscomptroller.gov/constituent-services/local-government/local-government-warehouse/landingpage?code=102%2F075%2F32, friendlyName=Municipal report index</x:v>
      </x:c>
      <x:c r="V25" s="24" t="e">
        <x:f>HYPERLINK("https://files.illinoiscomptroller.gov/LocGovTIF/FY2025/10207532/25TIF10207532TIF_1_1.pdf#page=3","Financial source")</x:f>
        <x:v>HYPERLINK is not implemented. linkLocation=https://files.illinoiscomptroller.gov/LocGovTIF/FY2025/10207532/25TIF10207532TIF_1_1.pdf#page=3, friendlyName=Financial source</x:v>
      </x:c>
      <x:c r="W25" s="24" t="str">
        <x:v>Municipal TIF annual report, section 3.1, current-year Property Tax Increment. FY 2025</x:v>
      </x:c>
      <x:c r="X25" s="24" t="e">
        <x:f>HYPERLINK("https://files.illinoiscomptroller.gov/LocGovTIF/FY2025/10207532/25TIF10207532TIF_1_1.pdf","Name source")</x:f>
        <x:v>HYPERLINK is not implemented. linkLocation=https://files.illinoiscomptroller.gov/LocGovTIF/FY2025/10207532/25TIF10207532TIF_1_1.pdf, friendlyName=Name source</x:v>
      </x:c>
      <x:c r="Y25" s="1" t="n">
        <x:v>1</x:v>
      </x:c>
      <x:c r="Z25" s="1"/>
      <x:c r="AA25" s="1"/>
    </x:row>
    <x:row r="26" ht="54" customHeight="1">
      <x:c r="A26" s="12" t="n">
        <x:v>19</x:v>
      </x:c>
      <x:c r="B26" s="12" t="str">
        <x:v>SB 2052</x:v>
      </x:c>
      <x:c r="C26" s="12" t="str">
        <x:v>101-0647</x:v>
      </x:c>
      <x:c r="D26" s="17" t="d">
        <x:v>2020-06-26T00:00:00.000Z</x:v>
      </x:c>
      <x:c r="E26" s="18" t="str">
        <x:v>New Berlin</x:v>
      </x:c>
      <x:c r="F26" s="13" t="str">
        <x:v>TIF</x:v>
      </x:c>
      <x:c r="G26" s="15" t="d">
        <x:v>1998-08-19T00:00:00.000Z</x:v>
      </x:c>
      <x:c r="H26" s="19" t="n">
        <x:v>23</x:v>
      </x:c>
      <x:c r="I26" s="19" t="n">
        <x:v>35</x:v>
      </x:c>
      <x:c r="J26" s="19" t="n">
        <x:v>12</x:v>
      </x:c>
      <x:c r="K26" s="19" t="str">
        <x:v>c(188)</x:v>
      </x:c>
      <x:c r="L26" s="12" t="str">
        <x:v>Fiscal year 2024</x:v>
      </x:c>
      <x:c r="M26" s="23" t="n">
        <x:v>400425</x:v>
      </x:c>
      <x:c r="N26" s="22" t="n">
        <x:f>IF(ISNUMBER(M26),M26*J26,"")</x:f>
        <x:v>4805100</x:v>
      </x:c>
      <x:c r="O26" s="13" t="str">
        <x:v>Not determinable from extension law / TIF receipts alone</x:v>
      </x:c>
      <x:c r="P26" s="13" t="str"/>
      <x:c r="Q26" s="12" t="str"/>
      <x:c r="R26" s="24" t="e">
        <x:f>HYPERLINK("https://www.ilga.gov/ftp/Public%20Acts/101/101-0647.htm","Signed Public Act")</x:f>
        <x:v>HYPERLINK is not implemented. linkLocation=https://www.ilga.gov/ftp/Public%20Acts/101/101-0647.htm, friendlyName=Signed Public Act</x:v>
      </x:c>
      <x:c r="S26" s="24" t="e">
        <x:f>HYPERLINK("https://legiscan.com/IL/bill/SB2052/2019","Signing history")</x:f>
        <x:v>HYPERLINK is not implemented. linkLocation=https://legiscan.com/IL/bill/SB2052/2019, friendlyName=Signing history</x:v>
      </x:c>
      <x:c r="T26" s="24" t="e">
        <x:f>HYPERLINK("https://files.illinoiscomptroller.gov/LocGovTIF/FY2024/08308032/24TIF08308032TIF_1.pdf","TIF annual reporting")</x:f>
        <x:v>HYPERLINK is not implemented. linkLocation=https://files.illinoiscomptroller.gov/LocGovTIF/FY2024/08308032/24TIF08308032TIF_1.pdf, friendlyName=TIF annual reporting</x:v>
      </x:c>
      <x:c r="U26" s="24" t="e">
        <x:f>HYPERLINK("https://illinoiscomptroller.gov/constituent-services/local-government/local-government-warehouse/landingpage?code=083%2F080%2F32","Municipal report index")</x:f>
        <x:v>HYPERLINK is not implemented. linkLocation=https://illinoiscomptroller.gov/constituent-services/local-government/local-government-warehouse/landingpage?code=083%2F080%2F32, friendlyName=Municipal report index</x:v>
      </x:c>
      <x:c r="V26" s="24" t="e">
        <x:f>HYPERLINK("https://files.illinoiscomptroller.gov/LocGovTIF/FY2024/08308032/24TIF08308032TIF_1.pdf#page=3","Financial source")</x:f>
        <x:v>HYPERLINK is not implemented. linkLocation=https://files.illinoiscomptroller.gov/LocGovTIF/FY2024/08308032/24TIF08308032TIF_1.pdf#page=3, friendlyName=Financial source</x:v>
      </x:c>
      <x:c r="W26" s="24" t="str">
        <x:v>Municipal TIF annual report, section 3.1, current-year Property Tax Increment. FY 2024</x:v>
      </x:c>
      <x:c r="X26" s="24" t="e">
        <x:f>HYPERLINK("https://files.illinoiscomptroller.gov/LocGovTIF/FY2024/08308032/24TIF08308032TIF_1.pdf","Name source")</x:f>
        <x:v>HYPERLINK is not implemented. linkLocation=https://files.illinoiscomptroller.gov/LocGovTIF/FY2024/08308032/24TIF08308032TIF_1.pdf, friendlyName=Name source</x:v>
      </x:c>
      <x:c r="Y26" s="1" t="n">
        <x:v>1</x:v>
      </x:c>
      <x:c r="Z26" s="1"/>
      <x:c r="AA26" s="1"/>
    </x:row>
    <x:row r="27" ht="54" customHeight="1">
      <x:c r="A27" s="12" t="n">
        <x:v>20</x:v>
      </x:c>
      <x:c r="B27" s="12" t="str">
        <x:v>HB 570</x:v>
      </x:c>
      <x:c r="C27" s="12" t="str">
        <x:v>101-0662</x:v>
      </x:c>
      <x:c r="D27" s="17" t="d">
        <x:v>2021-04-02T00:00:00.000Z</x:v>
      </x:c>
      <x:c r="E27" s="18" t="str">
        <x:v>Highwood</x:v>
      </x:c>
      <x:c r="F27" s="13" t="str">
        <x:v>Downtown Highwood</x:v>
      </x:c>
      <x:c r="G27" s="15" t="d">
        <x:v>2002-02-05T00:00:00.000Z</x:v>
      </x:c>
      <x:c r="H27" s="19" t="n">
        <x:v>23</x:v>
      </x:c>
      <x:c r="I27" s="19" t="n">
        <x:v>35</x:v>
      </x:c>
      <x:c r="J27" s="19" t="n">
        <x:v>12</x:v>
      </x:c>
      <x:c r="K27" s="19" t="str">
        <x:v>c(189)</x:v>
      </x:c>
      <x:c r="L27" s="12" t="str">
        <x:v>Fiscal year 2024</x:v>
      </x:c>
      <x:c r="M27" s="23" t="n">
        <x:v>1374973</x:v>
      </x:c>
      <x:c r="N27" s="22" t="n">
        <x:f>IF(ISNUMBER(M27),M27*J27,"")</x:f>
        <x:v>16499676</x:v>
      </x:c>
      <x:c r="O27" s="13" t="str">
        <x:v>Not determinable from extension law / TIF receipts alone</x:v>
      </x:c>
      <x:c r="P27" s="13" t="str"/>
      <x:c r="Q27" s="12" t="str"/>
      <x:c r="R27" s="24" t="e">
        <x:f>HYPERLINK("https://www.ilga.gov/ftp/Public%20Acts/101/101-0662.htm","Signed Public Act")</x:f>
        <x:v>HYPERLINK is not implemented. linkLocation=https://www.ilga.gov/ftp/Public%20Acts/101/101-0662.htm, friendlyName=Signed Public Act</x:v>
      </x:c>
      <x:c r="S27" s="24" t="e">
        <x:f>HYPERLINK("https://legiscan.com/IL/bill/HB570/2019","Signing history")</x:f>
        <x:v>HYPERLINK is not implemented. linkLocation=https://legiscan.com/IL/bill/HB570/2019, friendlyName=Signing history</x:v>
      </x:c>
      <x:c r="T27" s="24" t="e">
        <x:f>HYPERLINK("https://files.illinoiscomptroller.gov/LocGovTIF/FY2024/04906030/24TIF04906030Downtown_Highwood_1.pdf","TIF annual reporting")</x:f>
        <x:v>HYPERLINK is not implemented. linkLocation=https://files.illinoiscomptroller.gov/LocGovTIF/FY2024/04906030/24TIF04906030Downtown_Highwood_1.pdf, friendlyName=TIF annual reporting</x:v>
      </x:c>
      <x:c r="U27" s="24" t="e">
        <x:f>HYPERLINK("https://illinoiscomptroller.gov/constituent-services/local-government/local-government-warehouse/landingpage?code=049%2F060%2F30","Municipal report index")</x:f>
        <x:v>HYPERLINK is not implemented. linkLocation=https://illinoiscomptroller.gov/constituent-services/local-government/local-government-warehouse/landingpage?code=049%2F060%2F30, friendlyName=Municipal report index</x:v>
      </x:c>
      <x:c r="V27" s="24" t="e">
        <x:f>HYPERLINK("https://files.illinoiscomptroller.gov/LocGovTIF/FY2024/04906030/24TIF04906030Downtown_Highwood_1.pdf#page=3","Financial source")</x:f>
        <x:v>HYPERLINK is not implemented. linkLocation=https://files.illinoiscomptroller.gov/LocGovTIF/FY2024/04906030/24TIF04906030Downtown_Highwood_1.pdf#page=3, friendlyName=Financial source</x:v>
      </x:c>
      <x:c r="W27" s="24" t="str">
        <x:v>Municipal TIF annual report, section 3.1, current-year Property Tax Increment. FY 2024</x:v>
      </x:c>
      <x:c r="X27" s="24" t="e">
        <x:f>HYPERLINK("https://files.illinoiscomptroller.gov/LocGovTIF/FY2024/04906030/24TIF04906030Downtown_Highwood_1.pdf","Name source")</x:f>
        <x:v>HYPERLINK is not implemented. linkLocation=https://files.illinoiscomptroller.gov/LocGovTIF/FY2024/04906030/24TIF04906030Downtown_Highwood_1.pdf, friendlyName=Name source</x:v>
      </x:c>
      <x:c r="Y27" s="1" t="n">
        <x:v>1</x:v>
      </x:c>
      <x:c r="Z27" s="1"/>
      <x:c r="AA27" s="1"/>
    </x:row>
    <x:row r="28" ht="54" customHeight="1">
      <x:c r="A28" s="12" t="n">
        <x:v>21</x:v>
      </x:c>
      <x:c r="B28" s="12" t="str">
        <x:v>HB 570</x:v>
      </x:c>
      <x:c r="C28" s="12" t="str">
        <x:v>101-0662</x:v>
      </x:c>
      <x:c r="D28" s="17" t="d">
        <x:v>2021-04-02T00:00:00.000Z</x:v>
      </x:c>
      <x:c r="E28" s="18" t="str">
        <x:v>Flora</x:v>
      </x:c>
      <x:c r="F28" s="13" t="str">
        <x:v>West Side/Central RPA</x:v>
      </x:c>
      <x:c r="G28" s="15" t="d">
        <x:v>1997-06-01T00:00:00.000Z</x:v>
      </x:c>
      <x:c r="H28" s="19" t="n">
        <x:v>23</x:v>
      </x:c>
      <x:c r="I28" s="19" t="n">
        <x:v>35</x:v>
      </x:c>
      <x:c r="J28" s="19" t="n">
        <x:v>12</x:v>
      </x:c>
      <x:c r="K28" s="19" t="str">
        <x:v>c(190)</x:v>
      </x:c>
      <x:c r="L28" s="12" t="str">
        <x:v>Fiscal year 2025</x:v>
      </x:c>
      <x:c r="M28" s="23" t="n">
        <x:v>540108</x:v>
      </x:c>
      <x:c r="N28" s="22" t="n">
        <x:f>IF(ISNUMBER(M28),M28*J28,"")</x:f>
        <x:v>6481296</x:v>
      </x:c>
      <x:c r="O28" s="13" t="str">
        <x:v>Not determinable from extension law / TIF receipts alone</x:v>
      </x:c>
      <x:c r="P28" s="13" t="str"/>
      <x:c r="Q28" s="12" t="str"/>
      <x:c r="R28" s="24" t="e">
        <x:f>HYPERLINK("https://www.ilga.gov/ftp/Public%20Acts/101/101-0662.htm","Signed Public Act")</x:f>
        <x:v>HYPERLINK is not implemented. linkLocation=https://www.ilga.gov/ftp/Public%20Acts/101/101-0662.htm, friendlyName=Signed Public Act</x:v>
      </x:c>
      <x:c r="S28" s="24" t="e">
        <x:f>HYPERLINK("https://legiscan.com/IL/bill/HB570/2019","Signing history")</x:f>
        <x:v>HYPERLINK is not implemented. linkLocation=https://legiscan.com/IL/bill/HB570/2019, friendlyName=Signing history</x:v>
      </x:c>
      <x:c r="T28" s="24" t="e">
        <x:f>HYPERLINK("https://files.illinoiscomptroller.gov/LocGovTIF/FY2025/01301530/25TIF01301530West_Sidetral_RPA_1.pdf","TIF annual reporting")</x:f>
        <x:v>HYPERLINK is not implemented. linkLocation=https://files.illinoiscomptroller.gov/LocGovTIF/FY2025/01301530/25TIF01301530West_Sidetral_RPA_1.pdf, friendlyName=TIF annual reporting</x:v>
      </x:c>
      <x:c r="U28" s="24" t="e">
        <x:f>HYPERLINK("https://illinoiscomptroller.gov/constituent-services/local-government/local-government-warehouse/landingpage?code=013%2F015%2F30","Municipal report index")</x:f>
        <x:v>HYPERLINK is not implemented. linkLocation=https://illinoiscomptroller.gov/constituent-services/local-government/local-government-warehouse/landingpage?code=013%2F015%2F30, friendlyName=Municipal report index</x:v>
      </x:c>
      <x:c r="V28" s="24" t="e">
        <x:f>HYPERLINK("https://files.illinoiscomptroller.gov/LocGovTIF/FY2025/01301530/25TIF01301530West_Sidetral_RPA_1.pdf#page=3","Financial source")</x:f>
        <x:v>HYPERLINK is not implemented. linkLocation=https://files.illinoiscomptroller.gov/LocGovTIF/FY2025/01301530/25TIF01301530West_Sidetral_RPA_1.pdf#page=3, friendlyName=Financial source</x:v>
      </x:c>
      <x:c r="W28" s="24" t="str">
        <x:v>Municipal TIF annual report, section 3.1, current-year Property Tax Increment. FY 2025</x:v>
      </x:c>
      <x:c r="X28" s="24" t="e">
        <x:f>HYPERLINK("https://files.illinoiscomptroller.gov/LocGovTIF/FY2025/01301530/25TIF01301530West_Sidetral_RPA_1.pdf","Name source")</x:f>
        <x:v>HYPERLINK is not implemented. linkLocation=https://files.illinoiscomptroller.gov/LocGovTIF/FY2025/01301530/25TIF01301530West_Sidetral_RPA_1.pdf, friendlyName=Name source</x:v>
      </x:c>
      <x:c r="Y28" s="1" t="n">
        <x:v>1</x:v>
      </x:c>
      <x:c r="Z28" s="1"/>
      <x:c r="AA28" s="1"/>
    </x:row>
    <x:row r="29" ht="54" customHeight="1">
      <x:c r="A29" s="12" t="n">
        <x:v>22</x:v>
      </x:c>
      <x:c r="B29" s="12" t="str">
        <x:v>HB 570</x:v>
      </x:c>
      <x:c r="C29" s="12" t="str">
        <x:v>101-0662</x:v>
      </x:c>
      <x:c r="D29" s="17" t="d">
        <x:v>2021-04-02T00:00:00.000Z</x:v>
      </x:c>
      <x:c r="E29" s="18" t="str">
        <x:v>Cahokia</x:v>
      </x:c>
      <x:c r="F29" s="13" t="str">
        <x:v>District established December 31, 1986 (name unconfirmed)</x:v>
      </x:c>
      <x:c r="G29" s="15" t="d">
        <x:v>1986-12-31T00:00:00.000Z</x:v>
      </x:c>
      <x:c r="H29" s="19" t="n">
        <x:v>35</x:v>
      </x:c>
      <x:c r="I29" s="19" t="n">
        <x:v>47</x:v>
      </x:c>
      <x:c r="J29" s="19" t="n">
        <x:v>12</x:v>
      </x:c>
      <x:c r="K29" s="19" t="str">
        <x:v>f-1</x:v>
      </x:c>
      <x:c r="L29" s="12" t="str"/>
      <x:c r="M29" s="23"/>
      <x:c r="N29" s="22" t="str">
        <x:f>IF(ISNUMBER(M29),M29*J29,"")</x:f>
      </x:c>
      <x:c r="O29" s="13" t="str">
        <x:v>Not determinable from extension law / TIF receipts alone</x:v>
      </x:c>
      <x:c r="P29" s="25" t="str">
        <x:v>No matching annual filing retrieved. District name unconfirmed.</x:v>
      </x:c>
      <x:c r="Q29" s="12" t="str"/>
      <x:c r="R29" s="24" t="e">
        <x:f>HYPERLINK("https://www.ilga.gov/ftp/Public%20Acts/101/101-0662.htm","Signed Public Act")</x:f>
        <x:v>HYPERLINK is not implemented. linkLocation=https://www.ilga.gov/ftp/Public%20Acts/101/101-0662.htm, friendlyName=Signed Public Act</x:v>
      </x:c>
      <x:c r="S29" s="24" t="e">
        <x:f>HYPERLINK("https://legiscan.com/IL/bill/HB570/2019","Signing history")</x:f>
        <x:v>HYPERLINK is not implemented. linkLocation=https://legiscan.com/IL/bill/HB570/2019, friendlyName=Signing history</x:v>
      </x:c>
      <x:c r="T29" s="24" t="e">
        <x:f>HYPERLINK("https://illinoiscomptroller.gov/constituent-services/local-government/local-government-warehouse/landingpage?code=088%2F025%2F32","TIF annual reporting")</x:f>
        <x:v>HYPERLINK is not implemented. linkLocation=https://illinoiscomptroller.gov/constituent-services/local-government/local-government-warehouse/landingpage?code=088%2F025%2F32, friendlyName=TIF annual reporting</x:v>
      </x:c>
      <x:c r="U29" s="24" t="e">
        <x:f>HYPERLINK("https://illinoiscomptroller.gov/constituent-services/local-government/local-government-warehouse/landingpage?code=088%2F025%2F32","Municipal report index")</x:f>
        <x:v>HYPERLINK is not implemented. linkLocation=https://illinoiscomptroller.gov/constituent-services/local-government/local-government-warehouse/landingpage?code=088%2F025%2F32, friendlyName=Municipal report index</x:v>
      </x:c>
      <x:c r="V29" s="24" t="str">
        <x:f>""</x:f>
      </x:c>
      <x:c r="W29" s="24" t="str">
        <x:v>Not estimated: matching annual property-tax increment not verified. Blank is not zero.</x:v>
      </x:c>
      <x:c r="X29" s="24" t="e">
        <x:f>HYPERLINK("https://www.ilga.gov/ftp/Public%20Acts/101/101-0662.htm","Name source")</x:f>
        <x:v>HYPERLINK is not implemented. linkLocation=https://www.ilga.gov/ftp/Public%20Acts/101/101-0662.htm, friendlyName=Name source</x:v>
      </x:c>
      <x:c r="Y29" s="1" t="n">
        <x:v>0</x:v>
      </x:c>
      <x:c r="Z29" s="1"/>
      <x:c r="AA29" s="1"/>
    </x:row>
    <x:row r="30" ht="54" customHeight="1">
      <x:c r="A30" s="12" t="n">
        <x:v>23</x:v>
      </x:c>
      <x:c r="B30" s="12" t="str">
        <x:v>HB 570</x:v>
      </x:c>
      <x:c r="C30" s="12" t="str">
        <x:v>101-0662</x:v>
      </x:c>
      <x:c r="D30" s="17" t="d">
        <x:v>2021-04-02T00:00:00.000Z</x:v>
      </x:c>
      <x:c r="E30" s="18" t="str">
        <x:v>Charleston</x:v>
      </x:c>
      <x:c r="F30" s="13" t="str">
        <x:v>Central Area Redevelopment</x:v>
      </x:c>
      <x:c r="G30" s="15" t="d">
        <x:v>1986-12-20T00:00:00.000Z</x:v>
      </x:c>
      <x:c r="H30" s="19" t="n">
        <x:v>35</x:v>
      </x:c>
      <x:c r="I30" s="19" t="n">
        <x:v>47</x:v>
      </x:c>
      <x:c r="J30" s="19" t="n">
        <x:v>12</x:v>
      </x:c>
      <x:c r="K30" s="19" t="str">
        <x:v>f-2</x:v>
      </x:c>
      <x:c r="L30" s="12" t="str">
        <x:v>Fiscal year 2025</x:v>
      </x:c>
      <x:c r="M30" s="23" t="n">
        <x:v>207166</x:v>
      </x:c>
      <x:c r="N30" s="22" t="n">
        <x:f>IF(ISNUMBER(M30),M30*J30,"")</x:f>
        <x:v>2485992</x:v>
      </x:c>
      <x:c r="O30" s="13" t="str">
        <x:v>Not determinable from extension law / TIF receipts alone</x:v>
      </x:c>
      <x:c r="P30" s="13" t="str"/>
      <x:c r="Q30" s="12" t="str"/>
      <x:c r="R30" s="24" t="e">
        <x:f>HYPERLINK("https://www.ilga.gov/ftp/Public%20Acts/101/101-0662.htm","Signed Public Act")</x:f>
        <x:v>HYPERLINK is not implemented. linkLocation=https://www.ilga.gov/ftp/Public%20Acts/101/101-0662.htm, friendlyName=Signed Public Act</x:v>
      </x:c>
      <x:c r="S30" s="24" t="e">
        <x:f>HYPERLINK("https://legiscan.com/IL/bill/HB570/2019","Signing history")</x:f>
        <x:v>HYPERLINK is not implemented. linkLocation=https://legiscan.com/IL/bill/HB570/2019, friendlyName=Signing history</x:v>
      </x:c>
      <x:c r="T30" s="24" t="e">
        <x:f>HYPERLINK("https://files.illinoiscomptroller.gov/LocGovTIF/FY2025/01501530/25TIF01501530Central_Aelopment_1.pdf","TIF annual reporting")</x:f>
        <x:v>HYPERLINK is not implemented. linkLocation=https://files.illinoiscomptroller.gov/LocGovTIF/FY2025/01501530/25TIF01501530Central_Aelopment_1.pdf, friendlyName=TIF annual reporting</x:v>
      </x:c>
      <x:c r="U30" s="24" t="e">
        <x:f>HYPERLINK("https://illinoiscomptroller.gov/constituent-services/local-government/local-government-warehouse/landingpage?code=015%2F015%2F30","Municipal report index")</x:f>
        <x:v>HYPERLINK is not implemented. linkLocation=https://illinoiscomptroller.gov/constituent-services/local-government/local-government-warehouse/landingpage?code=015%2F015%2F30, friendlyName=Municipal report index</x:v>
      </x:c>
      <x:c r="V30" s="24" t="e">
        <x:f>HYPERLINK("https://files.illinoiscomptroller.gov/LocGovTIF/FY2025/01501530/25TIF01501530Central_Aelopment_1.pdf#page=3","Financial source")</x:f>
        <x:v>HYPERLINK is not implemented. linkLocation=https://files.illinoiscomptroller.gov/LocGovTIF/FY2025/01501530/25TIF01501530Central_Aelopment_1.pdf#page=3, friendlyName=Financial source</x:v>
      </x:c>
      <x:c r="W30" s="24" t="str">
        <x:v>Municipal TIF annual report, section 3.1, current-year Property Tax Increment. FY 2025</x:v>
      </x:c>
      <x:c r="X30" s="24" t="e">
        <x:f>HYPERLINK("https://files.illinoiscomptroller.gov/LocGovTIF/FY2025/01501530/25TIF01501530Central_Aelopment_1.pdf","Name source")</x:f>
        <x:v>HYPERLINK is not implemented. linkLocation=https://files.illinoiscomptroller.gov/LocGovTIF/FY2025/01501530/25TIF01501530Central_Aelopment_1.pdf, friendlyName=Name source</x:v>
      </x:c>
      <x:c r="Y30" s="1" t="n">
        <x:v>1</x:v>
      </x:c>
      <x:c r="Z30" s="1"/>
      <x:c r="AA30" s="1"/>
    </x:row>
    <x:row r="31" ht="54" customHeight="1">
      <x:c r="A31" s="12" t="n">
        <x:v>24</x:v>
      </x:c>
      <x:c r="B31" s="12" t="str">
        <x:v>HB 227</x:v>
      </x:c>
      <x:c r="C31" s="12" t="str">
        <x:v>102-0117</x:v>
      </x:c>
      <x:c r="D31" s="17" t="d">
        <x:v>2021-07-23T00:00:00.000Z</x:v>
      </x:c>
      <x:c r="E31" s="18" t="str">
        <x:v>Ottawa</x:v>
      </x:c>
      <x:c r="F31" s="13" t="str">
        <x:v>Downtown (TIF 3)</x:v>
      </x:c>
      <x:c r="G31" s="15" t="d">
        <x:v>1999-08-17T00:00:00.000Z</x:v>
      </x:c>
      <x:c r="H31" s="19" t="n">
        <x:v>23</x:v>
      </x:c>
      <x:c r="I31" s="19" t="n">
        <x:v>35</x:v>
      </x:c>
      <x:c r="J31" s="19" t="n">
        <x:v>12</x:v>
      </x:c>
      <x:c r="K31" s="19" t="str">
        <x:v>c(189)</x:v>
      </x:c>
      <x:c r="L31" s="12" t="str">
        <x:v>Fiscal year 2025</x:v>
      </x:c>
      <x:c r="M31" s="23" t="n">
        <x:v>522013</x:v>
      </x:c>
      <x:c r="N31" s="22" t="n">
        <x:f>IF(ISNUMBER(M31),M31*J31,"")</x:f>
        <x:v>6264156</x:v>
      </x:c>
      <x:c r="O31" s="13" t="str">
        <x:v>Not determinable from extension law / TIF receipts alone</x:v>
      </x:c>
      <x:c r="P31" s="13" t="str"/>
      <x:c r="Q31" s="12" t="str"/>
      <x:c r="R31" s="24" t="e">
        <x:f>HYPERLINK("https://www.ilga.gov/ftp/Public%20Acts/102/102-0117.htm","Signed Public Act")</x:f>
        <x:v>HYPERLINK is not implemented. linkLocation=https://www.ilga.gov/ftp/Public%20Acts/102/102-0117.htm, friendlyName=Signed Public Act</x:v>
      </x:c>
      <x:c r="S31" s="24" t="e">
        <x:f>HYPERLINK("https://legiscan.com/IL/bill/HB227/2021","Signing history")</x:f>
        <x:v>HYPERLINK is not implemented. linkLocation=https://legiscan.com/IL/bill/HB227/2021, friendlyName=Signing history</x:v>
      </x:c>
      <x:c r="T31" s="24" t="e">
        <x:f>HYPERLINK("https://files.illinoiscomptroller.gov/LocGovTIF/FY2025/05008030/25TIF05008030Downtown__TIF_3__1.pdf","TIF annual reporting")</x:f>
        <x:v>HYPERLINK is not implemented. linkLocation=https://files.illinoiscomptroller.gov/LocGovTIF/FY2025/05008030/25TIF05008030Downtown__TIF_3__1.pdf, friendlyName=TIF annual reporting</x:v>
      </x:c>
      <x:c r="U31" s="24" t="e">
        <x:f>HYPERLINK("https://illinoiscomptroller.gov/constituent-services/local-government/local-government-warehouse/landingpage?code=050%2F080%2F30","Municipal report index")</x:f>
        <x:v>HYPERLINK is not implemented. linkLocation=https://illinoiscomptroller.gov/constituent-services/local-government/local-government-warehouse/landingpage?code=050%2F080%2F30, friendlyName=Municipal report index</x:v>
      </x:c>
      <x:c r="V31" s="24" t="e">
        <x:f>HYPERLINK("https://files.illinoiscomptroller.gov/LocGovTIF/FY2025/05008030/25TIF05008030Downtown__TIF_3__1.pdf#page=3","Financial source")</x:f>
        <x:v>HYPERLINK is not implemented. linkLocation=https://files.illinoiscomptroller.gov/LocGovTIF/FY2025/05008030/25TIF05008030Downtown__TIF_3__1.pdf#page=3, friendlyName=Financial source</x:v>
      </x:c>
      <x:c r="W31" s="24" t="str">
        <x:v>Municipal TIF annual report, section 3.1, current-year Property Tax Increment. FY 2025</x:v>
      </x:c>
      <x:c r="X31" s="24" t="e">
        <x:f>HYPERLINK("https://files.illinoiscomptroller.gov/LocGovTIF/FY2025/05008030/25TIF05008030Downtown__TIF_3__1.pdf","Name source")</x:f>
        <x:v>HYPERLINK is not implemented. linkLocation=https://files.illinoiscomptroller.gov/LocGovTIF/FY2025/05008030/25TIF05008030Downtown__TIF_3__1.pdf, friendlyName=Name source</x:v>
      </x:c>
      <x:c r="Y31" s="1" t="n">
        <x:v>1</x:v>
      </x:c>
      <x:c r="Z31" s="1"/>
      <x:c r="AA31" s="1"/>
    </x:row>
    <x:row r="32" ht="54" customHeight="1">
      <x:c r="A32" s="12" t="n">
        <x:v>25</x:v>
      </x:c>
      <x:c r="B32" s="12" t="str">
        <x:v>HB 2061</x:v>
      </x:c>
      <x:c r="C32" s="12" t="str">
        <x:v>102-0424</x:v>
      </x:c>
      <x:c r="D32" s="17" t="d">
        <x:v>2021-08-20T00:00:00.000Z</x:v>
      </x:c>
      <x:c r="E32" s="18" t="str">
        <x:v>Mount Carroll</x:v>
      </x:c>
      <x:c r="F32" s="13" t="str">
        <x:v>Downtown and South City</x:v>
      </x:c>
      <x:c r="G32" s="15" t="d">
        <x:v>2005-06-13T00:00:00.000Z</x:v>
      </x:c>
      <x:c r="H32" s="19" t="n">
        <x:v>23</x:v>
      </x:c>
      <x:c r="I32" s="19" t="n">
        <x:v>35</x:v>
      </x:c>
      <x:c r="J32" s="19" t="n">
        <x:v>12</x:v>
      </x:c>
      <x:c r="K32" s="19" t="str">
        <x:v>c(189)</x:v>
      </x:c>
      <x:c r="L32" s="12" t="str">
        <x:v>Fiscal year 2026</x:v>
      </x:c>
      <x:c r="M32" s="23" t="n">
        <x:v>154572</x:v>
      </x:c>
      <x:c r="N32" s="22" t="n">
        <x:f>IF(ISNUMBER(M32),M32*J32,"")</x:f>
        <x:v>1854864</x:v>
      </x:c>
      <x:c r="O32" s="13" t="str">
        <x:v>Not determinable from extension law / TIF receipts alone</x:v>
      </x:c>
      <x:c r="P32" s="13" t="str"/>
      <x:c r="Q32" s="12" t="str"/>
      <x:c r="R32" s="24" t="e">
        <x:f>HYPERLINK("https://www.ilga.gov/ftp/Public%20Acts/102/102-0424.htm","Signed Public Act")</x:f>
        <x:v>HYPERLINK is not implemented. linkLocation=https://www.ilga.gov/ftp/Public%20Acts/102/102-0424.htm, friendlyName=Signed Public Act</x:v>
      </x:c>
      <x:c r="S32" s="24" t="e">
        <x:f>HYPERLINK("https://legiscan.com/IL/bill/HB2061/2021","Signing history")</x:f>
        <x:v>HYPERLINK is not implemented. linkLocation=https://legiscan.com/IL/bill/HB2061/2021, friendlyName=Signing history</x:v>
      </x:c>
      <x:c r="T32" s="24" t="e">
        <x:f>HYPERLINK("https://files.illinoiscomptroller.gov/LocGovTIF/FY2026/00802530/26TIF00802530Downtown_uth_City_1.pdf","TIF annual reporting")</x:f>
        <x:v>HYPERLINK is not implemented. linkLocation=https://files.illinoiscomptroller.gov/LocGovTIF/FY2026/00802530/26TIF00802530Downtown_uth_City_1.pdf, friendlyName=TIF annual reporting</x:v>
      </x:c>
      <x:c r="U32" s="24" t="e">
        <x:f>HYPERLINK("https://illinoiscomptroller.gov/constituent-services/local-government/local-government-warehouse/landingpage?code=008%2F025%2F30","Municipal report index")</x:f>
        <x:v>HYPERLINK is not implemented. linkLocation=https://illinoiscomptroller.gov/constituent-services/local-government/local-government-warehouse/landingpage?code=008%2F025%2F30, friendlyName=Municipal report index</x:v>
      </x:c>
      <x:c r="V32" s="24" t="e">
        <x:f>HYPERLINK("https://files.illinoiscomptroller.gov/LocGovTIF/FY2026/00802530/26TIF00802530Downtown_uth_City_1.pdf#page=3","Financial source")</x:f>
        <x:v>HYPERLINK is not implemented. linkLocation=https://files.illinoiscomptroller.gov/LocGovTIF/FY2026/00802530/26TIF00802530Downtown_uth_City_1.pdf#page=3, friendlyName=Financial source</x:v>
      </x:c>
      <x:c r="W32" s="24" t="str">
        <x:v>Municipal TIF annual report, section 3.1, current-year Property Tax Increment. FY 2026</x:v>
      </x:c>
      <x:c r="X32" s="24" t="e">
        <x:f>HYPERLINK("https://files.illinoiscomptroller.gov/LocGovTIF/FY2026/00802530/26TIF00802530Downtown_uth_City_1.pdf","Name source")</x:f>
        <x:v>HYPERLINK is not implemented. linkLocation=https://files.illinoiscomptroller.gov/LocGovTIF/FY2026/00802530/26TIF00802530Downtown_uth_City_1.pdf, friendlyName=Name source</x:v>
      </x:c>
      <x:c r="Y32" s="1" t="n">
        <x:v>1</x:v>
      </x:c>
      <x:c r="Z32" s="1"/>
      <x:c r="AA32" s="1"/>
    </x:row>
    <x:row r="33" ht="54" customHeight="1">
      <x:c r="A33" s="12" t="n">
        <x:v>26</x:v>
      </x:c>
      <x:c r="B33" s="12" t="str">
        <x:v>HB 2061</x:v>
      </x:c>
      <x:c r="C33" s="12" t="str">
        <x:v>102-0424</x:v>
      </x:c>
      <x:c r="D33" s="17" t="d">
        <x:v>2021-08-20T00:00:00.000Z</x:v>
      </x:c>
      <x:c r="E33" s="18" t="str">
        <x:v>Elizabeth</x:v>
      </x:c>
      <x:c r="F33" s="13" t="str">
        <x:v>US Rte 20 and Downtown Elizabeth</x:v>
      </x:c>
      <x:c r="G33" s="15" t="d">
        <x:v>2008-03-25T00:00:00.000Z</x:v>
      </x:c>
      <x:c r="H33" s="19" t="n">
        <x:v>23</x:v>
      </x:c>
      <x:c r="I33" s="19" t="n">
        <x:v>35</x:v>
      </x:c>
      <x:c r="J33" s="19" t="n">
        <x:v>12</x:v>
      </x:c>
      <x:c r="K33" s="19" t="str">
        <x:v>c(190)</x:v>
      </x:c>
      <x:c r="L33" s="12" t="str">
        <x:v>Fiscal year 2025</x:v>
      </x:c>
      <x:c r="M33" s="23" t="n">
        <x:v>144685</x:v>
      </x:c>
      <x:c r="N33" s="22" t="n">
        <x:f>IF(ISNUMBER(M33),M33*J33,"")</x:f>
        <x:v>1736220</x:v>
      </x:c>
      <x:c r="O33" s="13" t="str">
        <x:v>Not determinable from extension law / TIF receipts alone</x:v>
      </x:c>
      <x:c r="P33" s="13" t="str"/>
      <x:c r="Q33" s="12" t="str"/>
      <x:c r="R33" s="24" t="e">
        <x:f>HYPERLINK("https://www.ilga.gov/ftp/Public%20Acts/102/102-0424.htm","Signed Public Act")</x:f>
        <x:v>HYPERLINK is not implemented. linkLocation=https://www.ilga.gov/ftp/Public%20Acts/102/102-0424.htm, friendlyName=Signed Public Act</x:v>
      </x:c>
      <x:c r="S33" s="24" t="e">
        <x:f>HYPERLINK("https://legiscan.com/IL/bill/HB2061/2021","Signing history")</x:f>
        <x:v>HYPERLINK is not implemented. linkLocation=https://legiscan.com/IL/bill/HB2061/2021, friendlyName=Signing history</x:v>
      </x:c>
      <x:c r="T33" s="24" t="e">
        <x:f>HYPERLINK("https://files.illinoiscomptroller.gov/LocGovTIF/FY2025/04302032/25TIF04302032US_Rte_20lizabeth_1.pdf","TIF annual reporting")</x:f>
        <x:v>HYPERLINK is not implemented. linkLocation=https://files.illinoiscomptroller.gov/LocGovTIF/FY2025/04302032/25TIF04302032US_Rte_20lizabeth_1.pdf, friendlyName=TIF annual reporting</x:v>
      </x:c>
      <x:c r="U33" s="24" t="e">
        <x:f>HYPERLINK("https://illinoiscomptroller.gov/constituent-services/local-government/local-government-warehouse/landingpage?code=043%2F020%2F32","Municipal report index")</x:f>
        <x:v>HYPERLINK is not implemented. linkLocation=https://illinoiscomptroller.gov/constituent-services/local-government/local-government-warehouse/landingpage?code=043%2F020%2F32, friendlyName=Municipal report index</x:v>
      </x:c>
      <x:c r="V33" s="24" t="e">
        <x:f>HYPERLINK("https://files.illinoiscomptroller.gov/LocGovTIF/FY2025/04302032/25TIF04302032US_Rte_20lizabeth_1.pdf#page=3","Financial source")</x:f>
        <x:v>HYPERLINK is not implemented. linkLocation=https://files.illinoiscomptroller.gov/LocGovTIF/FY2025/04302032/25TIF04302032US_Rte_20lizabeth_1.pdf#page=3, friendlyName=Financial source</x:v>
      </x:c>
      <x:c r="W33" s="24" t="str">
        <x:v>Municipal TIF annual report, section 3.1, current-year Property Tax Increment. FY 2025</x:v>
      </x:c>
      <x:c r="X33" s="24" t="e">
        <x:f>HYPERLINK("https://files.illinoiscomptroller.gov/LocGovTIF/FY2025/04302032/25TIF04302032US_Rte_20lizabeth_1.pdf","Name source")</x:f>
        <x:v>HYPERLINK is not implemented. linkLocation=https://files.illinoiscomptroller.gov/LocGovTIF/FY2025/04302032/25TIF04302032US_Rte_20lizabeth_1.pdf, friendlyName=Name source</x:v>
      </x:c>
      <x:c r="Y33" s="1" t="n">
        <x:v>1</x:v>
      </x:c>
      <x:c r="Z33" s="1"/>
      <x:c r="AA33" s="1"/>
    </x:row>
    <x:row r="34" ht="54" customHeight="1">
      <x:c r="A34" s="12" t="n">
        <x:v>27</x:v>
      </x:c>
      <x:c r="B34" s="12" t="str">
        <x:v>HB 2365</x:v>
      </x:c>
      <x:c r="C34" s="12" t="str">
        <x:v>102-0425</x:v>
      </x:c>
      <x:c r="D34" s="17" t="d">
        <x:v>2021-08-20T00:00:00.000Z</x:v>
      </x:c>
      <x:c r="E34" s="18" t="str">
        <x:v>Mount Pulaski</x:v>
      </x:c>
      <x:c r="F34" s="13" t="str">
        <x:v>Northeast RPA</x:v>
      </x:c>
      <x:c r="G34" s="15" t="d">
        <x:v>2000-02-22T00:00:00.000Z</x:v>
      </x:c>
      <x:c r="H34" s="19" t="n">
        <x:v>23</x:v>
      </x:c>
      <x:c r="I34" s="19" t="n">
        <x:v>35</x:v>
      </x:c>
      <x:c r="J34" s="19" t="n">
        <x:v>12</x:v>
      </x:c>
      <x:c r="K34" s="19" t="str">
        <x:v>c(189)</x:v>
      </x:c>
      <x:c r="L34" s="12" t="str">
        <x:v>Fiscal year 2025</x:v>
      </x:c>
      <x:c r="M34" s="23" t="n">
        <x:v>93053</x:v>
      </x:c>
      <x:c r="N34" s="22" t="n">
        <x:f>IF(ISNUMBER(M34),M34*J34,"")</x:f>
        <x:v>1116636</x:v>
      </x:c>
      <x:c r="O34" s="13" t="str">
        <x:v>Not determinable from extension law / TIF receipts alone</x:v>
      </x:c>
      <x:c r="P34" s="13" t="str"/>
      <x:c r="Q34" s="12" t="str"/>
      <x:c r="R34" s="24" t="e">
        <x:f>HYPERLINK("https://www.ilga.gov/ftp/Public%20Acts/102/102-0425.htm","Signed Public Act")</x:f>
        <x:v>HYPERLINK is not implemented. linkLocation=https://www.ilga.gov/ftp/Public%20Acts/102/102-0425.htm, friendlyName=Signed Public Act</x:v>
      </x:c>
      <x:c r="S34" s="24" t="e">
        <x:f>HYPERLINK("https://legiscan.com/IL/bill/HB2365/2021","Signing history")</x:f>
        <x:v>HYPERLINK is not implemented. linkLocation=https://legiscan.com/IL/bill/HB2365/2021, friendlyName=Signing history</x:v>
      </x:c>
      <x:c r="T34" s="24" t="e">
        <x:f>HYPERLINK("https://files.illinoiscomptroller.gov/LocGovTIF/FY2025/05405030/25TIF05405030Northeast_RPA_1.pdf","TIF annual reporting")</x:f>
        <x:v>HYPERLINK is not implemented. linkLocation=https://files.illinoiscomptroller.gov/LocGovTIF/FY2025/05405030/25TIF05405030Northeast_RPA_1.pdf, friendlyName=TIF annual reporting</x:v>
      </x:c>
      <x:c r="U34" s="24" t="e">
        <x:f>HYPERLINK("https://illinoiscomptroller.gov/constituent-services/local-government/local-government-warehouse/landingpage?code=054%2F050%2F30","Municipal report index")</x:f>
        <x:v>HYPERLINK is not implemented. linkLocation=https://illinoiscomptroller.gov/constituent-services/local-government/local-government-warehouse/landingpage?code=054%2F050%2F30, friendlyName=Municipal report index</x:v>
      </x:c>
      <x:c r="V34" s="24" t="e">
        <x:f>HYPERLINK("https://files.illinoiscomptroller.gov/LocGovTIF/FY2025/05405030/25TIF05405030Northeast_RPA_1.pdf#page=3","Financial source")</x:f>
        <x:v>HYPERLINK is not implemented. linkLocation=https://files.illinoiscomptroller.gov/LocGovTIF/FY2025/05405030/25TIF05405030Northeast_RPA_1.pdf#page=3, friendlyName=Financial source</x:v>
      </x:c>
      <x:c r="W34" s="24" t="str">
        <x:v>Municipal TIF annual report, section 3.1, current-year Property Tax Increment. FY 2025</x:v>
      </x:c>
      <x:c r="X34" s="24" t="e">
        <x:f>HYPERLINK("https://files.illinoiscomptroller.gov/LocGovTIF/FY2025/05405030/25TIF05405030Northeast_RPA_1.pdf","Name source")</x:f>
        <x:v>HYPERLINK is not implemented. linkLocation=https://files.illinoiscomptroller.gov/LocGovTIF/FY2025/05405030/25TIF05405030Northeast_RPA_1.pdf, friendlyName=Name source</x:v>
      </x:c>
      <x:c r="Y34" s="1" t="n">
        <x:v>1</x:v>
      </x:c>
      <x:c r="Z34" s="1"/>
      <x:c r="AA34" s="1"/>
    </x:row>
    <x:row r="35" ht="54" customHeight="1">
      <x:c r="A35" s="12" t="n">
        <x:v>28</x:v>
      </x:c>
      <x:c r="B35" s="12" t="str">
        <x:v>HB 2826</x:v>
      </x:c>
      <x:c r="C35" s="12" t="str">
        <x:v>102-0446</x:v>
      </x:c>
      <x:c r="D35" s="17" t="d">
        <x:v>2021-08-20T00:00:00.000Z</x:v>
      </x:c>
      <x:c r="E35" s="18" t="str">
        <x:v>Washington</x:v>
      </x:c>
      <x:c r="F35" s="13" t="str">
        <x:v>Washington Square TIF #2</x:v>
      </x:c>
      <x:c r="G35" s="15" t="d">
        <x:v>1986-12-22T00:00:00.000Z</x:v>
      </x:c>
      <x:c r="H35" s="19" t="n">
        <x:v>35</x:v>
      </x:c>
      <x:c r="I35" s="19" t="n">
        <x:v>47</x:v>
      </x:c>
      <x:c r="J35" s="19" t="n">
        <x:v>12</x:v>
      </x:c>
      <x:c r="K35" s="19" t="str">
        <x:v>f-3</x:v>
      </x:c>
      <x:c r="L35" s="12" t="str">
        <x:v>Fiscal year 2025</x:v>
      </x:c>
      <x:c r="M35" s="23" t="n">
        <x:v>141965</x:v>
      </x:c>
      <x:c r="N35" s="22" t="n">
        <x:f>IF(ISNUMBER(M35),M35*J35,"")</x:f>
        <x:v>1703580</x:v>
      </x:c>
      <x:c r="O35" s="13" t="str">
        <x:v>Not determinable from extension law / TIF receipts alone</x:v>
      </x:c>
      <x:c r="P35" s="13" t="str"/>
      <x:c r="Q35" s="12" t="str"/>
      <x:c r="R35" s="24" t="e">
        <x:f>HYPERLINK("https://www.ilga.gov/ftp/Public%20Acts/102/102-0446.htm","Signed Public Act")</x:f>
        <x:v>HYPERLINK is not implemented. linkLocation=https://www.ilga.gov/ftp/Public%20Acts/102/102-0446.htm, friendlyName=Signed Public Act</x:v>
      </x:c>
      <x:c r="S35" s="24" t="e">
        <x:f>HYPERLINK("https://legiscan.com/IL/bill/HB2826/2021","Signing history")</x:f>
        <x:v>HYPERLINK is not implemented. linkLocation=https://legiscan.com/IL/bill/HB2826/2021, friendlyName=Signing history</x:v>
      </x:c>
      <x:c r="T35" s="24" t="e">
        <x:f>HYPERLINK("https://files.illinoiscomptroller.gov/LocGovTIF/FY2025/09008530/25TIF09008530Downtown_1.pdf","TIF annual reporting")</x:f>
        <x:v>HYPERLINK is not implemented. linkLocation=https://files.illinoiscomptroller.gov/LocGovTIF/FY2025/09008530/25TIF09008530Downtown_1.pdf, friendlyName=TIF annual reporting</x:v>
      </x:c>
      <x:c r="U35" s="24" t="e">
        <x:f>HYPERLINK("https://illinoiscomptroller.gov/constituent-services/local-government/local-government-warehouse/landingpage?code=090%2F085%2F30","Municipal report index")</x:f>
        <x:v>HYPERLINK is not implemented. linkLocation=https://illinoiscomptroller.gov/constituent-services/local-government/local-government-warehouse/landingpage?code=090%2F085%2F30, friendlyName=Municipal report index</x:v>
      </x:c>
      <x:c r="V35" s="24" t="e">
        <x:f>HYPERLINK("https://files.illinoiscomptroller.gov/LocGovTIF/FY2025/09008530/25TIF09008530Downtown_1.pdf#page=3","Financial source")</x:f>
        <x:v>HYPERLINK is not implemented. linkLocation=https://files.illinoiscomptroller.gov/LocGovTIF/FY2025/09008530/25TIF09008530Downtown_1.pdf#page=3, friendlyName=Financial source</x:v>
      </x:c>
      <x:c r="W35" s="24" t="str">
        <x:v>Municipal TIF annual report, section 3.1, current-year Property Tax Increment. FY 2025</x:v>
      </x:c>
      <x:c r="X35" s="24" t="e">
        <x:f>HYPERLINK("https://www.ilga.gov/ftp/Public%20Acts/102/102-0446.htm","Name source")</x:f>
        <x:v>HYPERLINK is not implemented. linkLocation=https://www.ilga.gov/ftp/Public%20Acts/102/102-0446.htm, friendlyName=Name source</x:v>
      </x:c>
      <x:c r="Y35" s="1" t="n">
        <x:v>1</x:v>
      </x:c>
      <x:c r="Z35" s="1"/>
      <x:c r="AA35" s="1"/>
    </x:row>
    <x:row r="36" ht="54" customHeight="1">
      <x:c r="A36" s="12" t="n">
        <x:v>29</x:v>
      </x:c>
      <x:c r="B36" s="12" t="str">
        <x:v>HB 3313</x:v>
      </x:c>
      <x:c r="C36" s="12" t="str">
        <x:v>102-0473</x:v>
      </x:c>
      <x:c r="D36" s="17" t="d">
        <x:v>2021-08-20T00:00:00.000Z</x:v>
      </x:c>
      <x:c r="E36" s="18" t="str">
        <x:v>Morris</x:v>
      </x:c>
      <x:c r="F36" s="13" t="str">
        <x:v>Morris TIF District 1</x:v>
      </x:c>
      <x:c r="G36" s="15" t="d">
        <x:v>1986-12-29T00:00:00.000Z</x:v>
      </x:c>
      <x:c r="H36" s="19" t="n">
        <x:v>35</x:v>
      </x:c>
      <x:c r="I36" s="19" t="n">
        <x:v>47</x:v>
      </x:c>
      <x:c r="J36" s="19" t="n">
        <x:v>12</x:v>
      </x:c>
      <x:c r="K36" s="19" t="str">
        <x:v>f-5(2)</x:v>
      </x:c>
      <x:c r="L36" s="12" t="str">
        <x:v>Fiscal year 2025</x:v>
      </x:c>
      <x:c r="M36" s="23" t="n">
        <x:v>6637293</x:v>
      </x:c>
      <x:c r="N36" s="22" t="n">
        <x:f>IF(ISNUMBER(M36),M36*J36,"")</x:f>
        <x:v>79647516</x:v>
      </x:c>
      <x:c r="O36" s="13" t="str">
        <x:v>Not determinable from extension law / TIF receipts alone</x:v>
      </x:c>
      <x:c r="P36" s="13" t="str"/>
      <x:c r="Q36" s="12" t="str"/>
      <x:c r="R36" s="24" t="e">
        <x:f>HYPERLINK("https://www.ilga.gov/ftp/Public%20Acts/102/102-0473.htm","Signed Public Act")</x:f>
        <x:v>HYPERLINK is not implemented. linkLocation=https://www.ilga.gov/ftp/Public%20Acts/102/102-0473.htm, friendlyName=Signed Public Act</x:v>
      </x:c>
      <x:c r="S36" s="24" t="e">
        <x:f>HYPERLINK("https://legiscan.com/IL/bill/HB3313/2021","Signing history")</x:f>
        <x:v>HYPERLINK is not implemented. linkLocation=https://legiscan.com/IL/bill/HB3313/2021, friendlyName=Signing history</x:v>
      </x:c>
      <x:c r="T36" s="24" t="e">
        <x:f>HYPERLINK("https://files.illinoiscomptroller.gov/LocGovTIF/FY2025/03206530/25TIF03206530TIF_RPA_1.pdf","TIF annual reporting")</x:f>
        <x:v>HYPERLINK is not implemented. linkLocation=https://files.illinoiscomptroller.gov/LocGovTIF/FY2025/03206530/25TIF03206530TIF_RPA_1.pdf, friendlyName=TIF annual reporting</x:v>
      </x:c>
      <x:c r="U36" s="24" t="e">
        <x:f>HYPERLINK("https://illinoiscomptroller.gov/constituent-services/local-government/local-government-warehouse/landingpage?code=032%2F065%2F30","Municipal report index")</x:f>
        <x:v>HYPERLINK is not implemented. linkLocation=https://illinoiscomptroller.gov/constituent-services/local-government/local-government-warehouse/landingpage?code=032%2F065%2F30, friendlyName=Municipal report index</x:v>
      </x:c>
      <x:c r="V36" s="24" t="e">
        <x:f>HYPERLINK("https://files.illinoiscomptroller.gov/LocGovTIF/FY2025/03206530/25TIF03206530TIF_RPA_1.pdf#page=3","Financial source")</x:f>
        <x:v>HYPERLINK is not implemented. linkLocation=https://files.illinoiscomptroller.gov/LocGovTIF/FY2025/03206530/25TIF03206530TIF_RPA_1.pdf#page=3, friendlyName=Financial source</x:v>
      </x:c>
      <x:c r="W36" s="24" t="str">
        <x:v>Municipal TIF annual report, section 3.1, current-year Property Tax Increment. FY 2025</x:v>
      </x:c>
      <x:c r="X36" s="24" t="e">
        <x:f>HYPERLINK("https://www.ilga.gov/ftp/Public%20Acts/102/102-0473.htm","Name source")</x:f>
        <x:v>HYPERLINK is not implemented. linkLocation=https://www.ilga.gov/ftp/Public%20Acts/102/102-0473.htm, friendlyName=Name source</x:v>
      </x:c>
      <x:c r="Y36" s="1" t="n">
        <x:v>1</x:v>
      </x:c>
      <x:c r="Z36" s="1"/>
      <x:c r="AA36" s="1"/>
    </x:row>
    <x:row r="37" ht="54" customHeight="1">
      <x:c r="A37" s="12" t="n">
        <x:v>30</x:v>
      </x:c>
      <x:c r="B37" s="12" t="str">
        <x:v>SB 1822</x:v>
      </x:c>
      <x:c r="C37" s="12" t="str">
        <x:v>102-0627</x:v>
      </x:c>
      <x:c r="D37" s="17" t="d">
        <x:v>2021-08-27T00:00:00.000Z</x:v>
      </x:c>
      <x:c r="E37" s="18" t="str">
        <x:v>Effingham</x:v>
      </x:c>
      <x:c r="F37" s="13" t="str">
        <x:v>Central Redevelopment Project Area</x:v>
      </x:c>
      <x:c r="G37" s="15" t="d">
        <x:v>2000-11-21T00:00:00.000Z</x:v>
      </x:c>
      <x:c r="H37" s="19" t="n">
        <x:v>23</x:v>
      </x:c>
      <x:c r="I37" s="19" t="n">
        <x:v>35</x:v>
      </x:c>
      <x:c r="J37" s="19" t="n">
        <x:v>12</x:v>
      </x:c>
      <x:c r="K37" s="19" t="str">
        <x:v>c(191)</x:v>
      </x:c>
      <x:c r="L37" s="12" t="str">
        <x:v>Fiscal year 2025</x:v>
      </x:c>
      <x:c r="M37" s="23" t="n">
        <x:v>800270</x:v>
      </x:c>
      <x:c r="N37" s="22" t="n">
        <x:f>IF(ISNUMBER(M37),M37*J37,"")</x:f>
        <x:v>9603240</x:v>
      </x:c>
      <x:c r="O37" s="13" t="str">
        <x:v>Not determinable from extension law / TIF receipts alone</x:v>
      </x:c>
      <x:c r="P37" s="13" t="str"/>
      <x:c r="Q37" s="12" t="str"/>
      <x:c r="R37" s="24" t="e">
        <x:f>HYPERLINK("https://www.ilga.gov/ftp/Public%20Acts/102/102-0627.htm","Signed Public Act")</x:f>
        <x:v>HYPERLINK is not implemented. linkLocation=https://www.ilga.gov/ftp/Public%20Acts/102/102-0627.htm, friendlyName=Signed Public Act</x:v>
      </x:c>
      <x:c r="S37" s="24" t="e">
        <x:f>HYPERLINK("https://legiscan.com/IL/bill/SB1822/2021","Signing history")</x:f>
        <x:v>HYPERLINK is not implemented. linkLocation=https://legiscan.com/IL/bill/SB1822/2021, friendlyName=Signing history</x:v>
      </x:c>
      <x:c r="T37" s="24" t="e">
        <x:f>HYPERLINK("https://files.illinoiscomptroller.gov/LocGovTIF/FY2025/02503030/25TIF02503030Central_Rect_Area_1.pdf","TIF annual reporting")</x:f>
        <x:v>HYPERLINK is not implemented. linkLocation=https://files.illinoiscomptroller.gov/LocGovTIF/FY2025/02503030/25TIF02503030Central_Rect_Area_1.pdf, friendlyName=TIF annual reporting</x:v>
      </x:c>
      <x:c r="U37" s="24" t="e">
        <x:f>HYPERLINK("https://illinoiscomptroller.gov/constituent-services/local-government/local-government-warehouse/landingpage?code=025%2F030%2F30","Municipal report index")</x:f>
        <x:v>HYPERLINK is not implemented. linkLocation=https://illinoiscomptroller.gov/constituent-services/local-government/local-government-warehouse/landingpage?code=025%2F030%2F30, friendlyName=Municipal report index</x:v>
      </x:c>
      <x:c r="V37" s="24" t="e">
        <x:f>HYPERLINK("https://files.illinoiscomptroller.gov/LocGovTIF/FY2025/02503030/25TIF02503030Central_Rect_Area_1.pdf#page=3","Financial source")</x:f>
        <x:v>HYPERLINK is not implemented. linkLocation=https://files.illinoiscomptroller.gov/LocGovTIF/FY2025/02503030/25TIF02503030Central_Rect_Area_1.pdf#page=3, friendlyName=Financial source</x:v>
      </x:c>
      <x:c r="W37" s="24" t="str">
        <x:v>Municipal TIF annual report, section 3.1, current-year Property Tax Increment. FY 2025</x:v>
      </x:c>
      <x:c r="X37" s="24" t="e">
        <x:f>HYPERLINK("https://files.illinoiscomptroller.gov/LocGovTIF/FY2025/02503030/25TIF02503030Central_Rect_Area_1.pdf","Name source")</x:f>
        <x:v>HYPERLINK is not implemented. linkLocation=https://files.illinoiscomptroller.gov/LocGovTIF/FY2025/02503030/25TIF02503030Central_Rect_Area_1.pdf, friendlyName=Name source</x:v>
      </x:c>
      <x:c r="Y37" s="1" t="n">
        <x:v>1</x:v>
      </x:c>
      <x:c r="Z37" s="1"/>
      <x:c r="AA37" s="1"/>
    </x:row>
    <x:row r="38" ht="54" customHeight="1">
      <x:c r="A38" s="12" t="n">
        <x:v>31</x:v>
      </x:c>
      <x:c r="B38" s="12" t="str">
        <x:v>SB 1822</x:v>
      </x:c>
      <x:c r="C38" s="12" t="str">
        <x:v>102-0627</x:v>
      </x:c>
      <x:c r="D38" s="17" t="d">
        <x:v>2021-08-27T00:00:00.000Z</x:v>
      </x:c>
      <x:c r="E38" s="18" t="str">
        <x:v>Effingham</x:v>
      </x:c>
      <x:c r="F38" s="13" t="str">
        <x:v>South Central Industrial</x:v>
      </x:c>
      <x:c r="G38" s="15" t="d">
        <x:v>2003-01-28T00:00:00.000Z</x:v>
      </x:c>
      <x:c r="H38" s="19" t="n">
        <x:v>23</x:v>
      </x:c>
      <x:c r="I38" s="19" t="n">
        <x:v>35</x:v>
      </x:c>
      <x:c r="J38" s="19" t="n">
        <x:v>12</x:v>
      </x:c>
      <x:c r="K38" s="19" t="str">
        <x:v>c(192)</x:v>
      </x:c>
      <x:c r="L38" s="12" t="str">
        <x:v>Fiscal year 2025</x:v>
      </x:c>
      <x:c r="M38" s="23" t="n">
        <x:v>623987</x:v>
      </x:c>
      <x:c r="N38" s="22" t="n">
        <x:f>IF(ISNUMBER(M38),M38*J38,"")</x:f>
        <x:v>7487844</x:v>
      </x:c>
      <x:c r="O38" s="13" t="str">
        <x:v>Not determinable from extension law / TIF receipts alone</x:v>
      </x:c>
      <x:c r="P38" s="25" t="str">
        <x:v>Act date Jan. 28, 2003; report OCR reads Apr. 28, 2003. Verify original ordinance. Financial match is provisional because of the date discrepancy.</x:v>
      </x:c>
      <x:c r="Q38" s="12" t="str"/>
      <x:c r="R38" s="24" t="e">
        <x:f>HYPERLINK("https://www.ilga.gov/ftp/Public%20Acts/102/102-0627.htm","Signed Public Act")</x:f>
        <x:v>HYPERLINK is not implemented. linkLocation=https://www.ilga.gov/ftp/Public%20Acts/102/102-0627.htm, friendlyName=Signed Public Act</x:v>
      </x:c>
      <x:c r="S38" s="24" t="e">
        <x:f>HYPERLINK("https://legiscan.com/IL/bill/SB1822/2021","Signing history")</x:f>
        <x:v>HYPERLINK is not implemented. linkLocation=https://legiscan.com/IL/bill/SB1822/2021, friendlyName=Signing history</x:v>
      </x:c>
      <x:c r="T38" s="24" t="e">
        <x:f>HYPERLINK("https://files.illinoiscomptroller.gov/LocGovTIF/FY2025/02503030/25TIF02503030South_Cendustrial_1.pdf","TIF annual reporting")</x:f>
        <x:v>HYPERLINK is not implemented. linkLocation=https://files.illinoiscomptroller.gov/LocGovTIF/FY2025/02503030/25TIF02503030South_Cendustrial_1.pdf, friendlyName=TIF annual reporting</x:v>
      </x:c>
      <x:c r="U38" s="24" t="e">
        <x:f>HYPERLINK("https://illinoiscomptroller.gov/constituent-services/local-government/local-government-warehouse/landingpage?code=025%2F030%2F30","Municipal report index")</x:f>
        <x:v>HYPERLINK is not implemented. linkLocation=https://illinoiscomptroller.gov/constituent-services/local-government/local-government-warehouse/landingpage?code=025%2F030%2F30, friendlyName=Municipal report index</x:v>
      </x:c>
      <x:c r="V38" s="24" t="e">
        <x:f>HYPERLINK("https://files.illinoiscomptroller.gov/LocGovTIF/FY2025/02503030/25TIF02503030South_Cendustrial_1.pdf#page=3","Financial source")</x:f>
        <x:v>HYPERLINK is not implemented. linkLocation=https://files.illinoiscomptroller.gov/LocGovTIF/FY2025/02503030/25TIF02503030South_Cendustrial_1.pdf#page=3, friendlyName=Financial source</x:v>
      </x:c>
      <x:c r="W38" s="24" t="str">
        <x:v>Municipal TIF annual report, section 3.1, current-year Property Tax Increment. FY 2025</x:v>
      </x:c>
      <x:c r="X38" s="24" t="e">
        <x:f>HYPERLINK("https://files.illinoiscomptroller.gov/LocGovTIF/FY2025/02503030/25TIF02503030South_Cendustrial_1.pdf","Name source")</x:f>
        <x:v>HYPERLINK is not implemented. linkLocation=https://files.illinoiscomptroller.gov/LocGovTIF/FY2025/02503030/25TIF02503030South_Cendustrial_1.pdf, friendlyName=Name source</x:v>
      </x:c>
      <x:c r="Y38" s="1" t="n">
        <x:v>1</x:v>
      </x:c>
      <x:c r="Z38" s="1"/>
      <x:c r="AA38" s="1"/>
    </x:row>
    <x:row r="39" ht="54" customHeight="1">
      <x:c r="A39" s="12" t="n">
        <x:v>32</x:v>
      </x:c>
      <x:c r="B39" s="12" t="str">
        <x:v>SB 1822</x:v>
      </x:c>
      <x:c r="C39" s="12" t="str">
        <x:v>102-0627</x:v>
      </x:c>
      <x:c r="D39" s="17" t="d">
        <x:v>2021-08-27T00:00:00.000Z</x:v>
      </x:c>
      <x:c r="E39" s="18" t="str">
        <x:v>Polo</x:v>
      </x:c>
      <x:c r="F39" s="13" t="str">
        <x:v>Polo TIF</x:v>
      </x:c>
      <x:c r="G39" s="15" t="d">
        <x:v>2008-02-04T00:00:00.000Z</x:v>
      </x:c>
      <x:c r="H39" s="19" t="n">
        <x:v>23</x:v>
      </x:c>
      <x:c r="I39" s="19" t="n">
        <x:v>35</x:v>
      </x:c>
      <x:c r="J39" s="19" t="n">
        <x:v>12</x:v>
      </x:c>
      <x:c r="K39" s="19" t="str">
        <x:v>c(193)</x:v>
      </x:c>
      <x:c r="L39" s="12" t="str">
        <x:v>Fiscal year 2025</x:v>
      </x:c>
      <x:c r="M39" s="23" t="n">
        <x:v>143491</x:v>
      </x:c>
      <x:c r="N39" s="22" t="n">
        <x:f>IF(ISNUMBER(M39),M39*J39,"")</x:f>
        <x:v>1721892</x:v>
      </x:c>
      <x:c r="O39" s="13" t="str">
        <x:v>Not determinable from extension law / TIF receipts alone</x:v>
      </x:c>
      <x:c r="P39" s="13" t="str"/>
      <x:c r="Q39" s="12" t="str"/>
      <x:c r="R39" s="24" t="e">
        <x:f>HYPERLINK("https://www.ilga.gov/ftp/Public%20Acts/102/102-0627.htm","Signed Public Act")</x:f>
        <x:v>HYPERLINK is not implemented. linkLocation=https://www.ilga.gov/ftp/Public%20Acts/102/102-0627.htm, friendlyName=Signed Public Act</x:v>
      </x:c>
      <x:c r="S39" s="24" t="e">
        <x:f>HYPERLINK("https://legiscan.com/IL/bill/SB1822/2021","Signing history")</x:f>
        <x:v>HYPERLINK is not implemented. linkLocation=https://legiscan.com/IL/bill/SB1822/2021, friendlyName=Signing history</x:v>
      </x:c>
      <x:c r="T39" s="24" t="e">
        <x:f>HYPERLINK("https://files.illinoiscomptroller.gov/LocGovTIF/FY2025/07105030/25TIF07105030Polo_TIF_1.pdf","TIF annual reporting")</x:f>
        <x:v>HYPERLINK is not implemented. linkLocation=https://files.illinoiscomptroller.gov/LocGovTIF/FY2025/07105030/25TIF07105030Polo_TIF_1.pdf, friendlyName=TIF annual reporting</x:v>
      </x:c>
      <x:c r="U39" s="24" t="e">
        <x:f>HYPERLINK("https://illinoiscomptroller.gov/constituent-services/local-government/local-government-warehouse/landingpage?code=071%2F050%2F30","Municipal report index")</x:f>
        <x:v>HYPERLINK is not implemented. linkLocation=https://illinoiscomptroller.gov/constituent-services/local-government/local-government-warehouse/landingpage?code=071%2F050%2F30, friendlyName=Municipal report index</x:v>
      </x:c>
      <x:c r="V39" s="24" t="e">
        <x:f>HYPERLINK("https://files.illinoiscomptroller.gov/LocGovTIF/FY2025/07105030/25TIF07105030Polo_TIF_1.pdf#page=3","Financial source")</x:f>
        <x:v>HYPERLINK is not implemented. linkLocation=https://files.illinoiscomptroller.gov/LocGovTIF/FY2025/07105030/25TIF07105030Polo_TIF_1.pdf#page=3, friendlyName=Financial source</x:v>
      </x:c>
      <x:c r="W39" s="24" t="str">
        <x:v>Municipal TIF annual report, section 3.1, current-year Property Tax Increment. FY 2025</x:v>
      </x:c>
      <x:c r="X39" s="24" t="e">
        <x:f>HYPERLINK("https://files.illinoiscomptroller.gov/LocGovTIF/FY2025/07105030/25TIF07105030Polo_TIF_1.pdf","Name source")</x:f>
        <x:v>HYPERLINK is not implemented. linkLocation=https://files.illinoiscomptroller.gov/LocGovTIF/FY2025/07105030/25TIF07105030Polo_TIF_1.pdf, friendlyName=Name source</x:v>
      </x:c>
      <x:c r="Y39" s="1" t="n">
        <x:v>1</x:v>
      </x:c>
      <x:c r="Z39" s="1"/>
      <x:c r="AA39" s="1"/>
    </x:row>
    <x:row r="40" ht="54" customHeight="1">
      <x:c r="A40" s="12" t="n">
        <x:v>33</x:v>
      </x:c>
      <x:c r="B40" s="12" t="str">
        <x:v>SB 1822</x:v>
      </x:c>
      <x:c r="C40" s="12" t="str">
        <x:v>102-0627</x:v>
      </x:c>
      <x:c r="D40" s="17" t="d">
        <x:v>2021-08-27T00:00:00.000Z</x:v>
      </x:c>
      <x:c r="E40" s="18" t="str">
        <x:v>Bellwood</x:v>
      </x:c>
      <x:c r="F40" s="13" t="str">
        <x:v>Park Place TIF</x:v>
      </x:c>
      <x:c r="G40" s="15" t="d">
        <x:v>2005-08-17T00:00:00.000Z</x:v>
      </x:c>
      <x:c r="H40" s="19" t="n">
        <x:v>23</x:v>
      </x:c>
      <x:c r="I40" s="19" t="n">
        <x:v>35</x:v>
      </x:c>
      <x:c r="J40" s="19" t="n">
        <x:v>12</x:v>
      </x:c>
      <x:c r="K40" s="19" t="str">
        <x:v>c(194)</x:v>
      </x:c>
      <x:c r="L40" s="12" t="str">
        <x:v>Tax year 2024</x:v>
      </x:c>
      <x:c r="M40" s="23" t="n">
        <x:v>210583.29</x:v>
      </x:c>
      <x:c r="N40" s="22" t="n">
        <x:f>IF(ISNUMBER(M40),M40*J40,"")</x:f>
        <x:v>2526999.48</x:v>
      </x:c>
      <x:c r="O40" s="13" t="str">
        <x:v>Not determinable from extension law / TIF receipts alone</x:v>
      </x:c>
      <x:c r="P40" s="13" t="str"/>
      <x:c r="Q40" s="12" t="str"/>
      <x:c r="R40" s="24" t="e">
        <x:f>HYPERLINK("https://www.ilga.gov/ftp/Public%20Acts/102/102-0627.htm","Signed Public Act")</x:f>
        <x:v>HYPERLINK is not implemented. linkLocation=https://www.ilga.gov/ftp/Public%20Acts/102/102-0627.htm, friendlyName=Signed Public Act</x:v>
      </x:c>
      <x:c r="S40" s="24" t="e">
        <x:f>HYPERLINK("https://legiscan.com/IL/bill/SB1822/2021","Signing history")</x:f>
        <x:v>HYPERLINK is not implemented. linkLocation=https://legiscan.com/IL/bill/SB1822/2021, friendlyName=Signing history</x:v>
      </x:c>
      <x:c r="T40" s="24" t="e">
        <x:f>HYPERLINK("https://files.illinoiscomptroller.gov/LocGovTIF/FY2024/01604032/24TIF01604032Park_Place_TIF_1.pdf","TIF annual reporting")</x:f>
        <x:v>HYPERLINK is not implemented. linkLocation=https://files.illinoiscomptroller.gov/LocGovTIF/FY2024/01604032/24TIF01604032Park_Place_TIF_1.pdf, friendlyName=TIF annual reporting</x:v>
      </x:c>
      <x:c r="U40" s="24" t="e">
        <x:f>HYPERLINK("https://illinoiscomptroller.gov/constituent-services/local-government/local-government-warehouse/landingpage?code=016%2F040%2F32","Municipal report index")</x:f>
        <x:v>HYPERLINK is not implemented. linkLocation=https://illinoiscomptroller.gov/constituent-services/local-government/local-government-warehouse/landingpage?code=016%2F040%2F32, friendlyName=Municipal report index</x:v>
      </x:c>
      <x:c r="V40" s="24" t="e">
        <x:f>HYPERLINK("https://news.wttw.com/sites/default/files/article/file-attachments/2024-tif-report.pdf#page=35","Financial source")</x:f>
        <x:v>HYPERLINK is not implemented. linkLocation=https://news.wttw.com/sites/default/files/article/file-attachments/2024-tif-report.pdf#page=35, friendlyName=Financial source</x:v>
      </x:c>
      <x:c r="W40" s="24" t="str">
        <x:v>Cook County Clerk 2024 TIF report; 03-0070-503; Bellwood - Park Place; PDF page 35</x:v>
      </x:c>
      <x:c r="X40" s="24" t="e">
        <x:f>HYPERLINK("https://www.ilga.gov/ftp/Public%20Acts/102/102-0627.htm","Name source")</x:f>
        <x:v>HYPERLINK is not implemented. linkLocation=https://www.ilga.gov/ftp/Public%20Acts/102/102-0627.htm, friendlyName=Name source</x:v>
      </x:c>
      <x:c r="Y40" s="1" t="n">
        <x:v>1</x:v>
      </x:c>
      <x:c r="Z40" s="1"/>
      <x:c r="AA40" s="1"/>
    </x:row>
    <x:row r="41" ht="54" customHeight="1">
      <x:c r="A41" s="12" t="n">
        <x:v>34</x:v>
      </x:c>
      <x:c r="B41" s="12" t="str">
        <x:v>SB 1822</x:v>
      </x:c>
      <x:c r="C41" s="12" t="str">
        <x:v>102-0627</x:v>
      </x:c>
      <x:c r="D41" s="17" t="d">
        <x:v>2021-08-27T00:00:00.000Z</x:v>
      </x:c>
      <x:c r="E41" s="18" t="str">
        <x:v>Bellwood</x:v>
      </x:c>
      <x:c r="F41" s="13" t="str">
        <x:v>North-2014 TIF</x:v>
      </x:c>
      <x:c r="G41" s="15" t="d">
        <x:v>2014-07-16T00:00:00.000Z</x:v>
      </x:c>
      <x:c r="H41" s="19" t="n">
        <x:v>23</x:v>
      </x:c>
      <x:c r="I41" s="19" t="n">
        <x:v>35</x:v>
      </x:c>
      <x:c r="J41" s="19" t="n">
        <x:v>12</x:v>
      </x:c>
      <x:c r="K41" s="19" t="str">
        <x:v>c(195)</x:v>
      </x:c>
      <x:c r="L41" s="12" t="str">
        <x:v>Tax year 2024</x:v>
      </x:c>
      <x:c r="M41" s="23" t="n">
        <x:v>2493896.76</x:v>
      </x:c>
      <x:c r="N41" s="22" t="n">
        <x:f>IF(ISNUMBER(M41),M41*J41,"")</x:f>
        <x:v>29926761.119999997</x:v>
      </x:c>
      <x:c r="O41" s="13" t="str">
        <x:v>Not determinable from extension law / TIF receipts alone</x:v>
      </x:c>
      <x:c r="P41" s="13" t="str"/>
      <x:c r="Q41" s="12" t="str"/>
      <x:c r="R41" s="24" t="e">
        <x:f>HYPERLINK("https://www.ilga.gov/ftp/Public%20Acts/102/102-0627.htm","Signed Public Act")</x:f>
        <x:v>HYPERLINK is not implemented. linkLocation=https://www.ilga.gov/ftp/Public%20Acts/102/102-0627.htm, friendlyName=Signed Public Act</x:v>
      </x:c>
      <x:c r="S41" s="24" t="e">
        <x:f>HYPERLINK("https://legiscan.com/IL/bill/SB1822/2021","Signing history")</x:f>
        <x:v>HYPERLINK is not implemented. linkLocation=https://legiscan.com/IL/bill/SB1822/2021, friendlyName=Signing history</x:v>
      </x:c>
      <x:c r="T41" s="24" t="e">
        <x:f>HYPERLINK("https://files.illinoiscomptroller.gov/LocGovTIF/FY2024/01604032/24TIF01604032North_2014_1.pdf","TIF annual reporting")</x:f>
        <x:v>HYPERLINK is not implemented. linkLocation=https://files.illinoiscomptroller.gov/LocGovTIF/FY2024/01604032/24TIF01604032North_2014_1.pdf, friendlyName=TIF annual reporting</x:v>
      </x:c>
      <x:c r="U41" s="24" t="e">
        <x:f>HYPERLINK("https://illinoiscomptroller.gov/constituent-services/local-government/local-government-warehouse/landingpage?code=016%2F040%2F32","Municipal report index")</x:f>
        <x:v>HYPERLINK is not implemented. linkLocation=https://illinoiscomptroller.gov/constituent-services/local-government/local-government-warehouse/landingpage?code=016%2F040%2F32, friendlyName=Municipal report index</x:v>
      </x:c>
      <x:c r="V41" s="24" t="e">
        <x:f>HYPERLINK("https://news.wttw.com/sites/default/files/article/file-attachments/2024-tif-report.pdf#page=35","Financial source")</x:f>
        <x:v>HYPERLINK is not implemented. linkLocation=https://news.wttw.com/sites/default/files/article/file-attachments/2024-tif-report.pdf#page=35, friendlyName=Financial source</x:v>
      </x:c>
      <x:c r="W41" s="24" t="str">
        <x:v>Cook County Clerk 2024 TIF report; 03-0070-513; Bellwood - North 2014; PDF page 35</x:v>
      </x:c>
      <x:c r="X41" s="24" t="e">
        <x:f>HYPERLINK("https://www.ilga.gov/ftp/Public%20Acts/102/102-0627.htm","Name source")</x:f>
        <x:v>HYPERLINK is not implemented. linkLocation=https://www.ilga.gov/ftp/Public%20Acts/102/102-0627.htm, friendlyName=Name source</x:v>
      </x:c>
      <x:c r="Y41" s="1" t="n">
        <x:v>1</x:v>
      </x:c>
      <x:c r="Z41" s="1"/>
      <x:c r="AA41" s="1"/>
    </x:row>
    <x:row r="42" ht="54" customHeight="1">
      <x:c r="A42" s="12" t="n">
        <x:v>35</x:v>
      </x:c>
      <x:c r="B42" s="12" t="str">
        <x:v>SB 1822</x:v>
      </x:c>
      <x:c r="C42" s="12" t="str">
        <x:v>102-0627</x:v>
      </x:c>
      <x:c r="D42" s="17" t="d">
        <x:v>2021-08-27T00:00:00.000Z</x:v>
      </x:c>
      <x:c r="E42" s="18" t="str">
        <x:v>Bellwood</x:v>
      </x:c>
      <x:c r="F42" s="13" t="str">
        <x:v>South-2014 TIF</x:v>
      </x:c>
      <x:c r="G42" s="15" t="d">
        <x:v>2014-07-16T00:00:00.000Z</x:v>
      </x:c>
      <x:c r="H42" s="19" t="n">
        <x:v>23</x:v>
      </x:c>
      <x:c r="I42" s="19" t="n">
        <x:v>35</x:v>
      </x:c>
      <x:c r="J42" s="19" t="n">
        <x:v>12</x:v>
      </x:c>
      <x:c r="K42" s="19" t="str">
        <x:v>c(196)</x:v>
      </x:c>
      <x:c r="L42" s="12" t="str">
        <x:v>Tax year 2024</x:v>
      </x:c>
      <x:c r="M42" s="23" t="n">
        <x:v>2919774.25</x:v>
      </x:c>
      <x:c r="N42" s="22" t="n">
        <x:f>IF(ISNUMBER(M42),M42*J42,"")</x:f>
        <x:v>35037291</x:v>
      </x:c>
      <x:c r="O42" s="13" t="str">
        <x:v>Not determinable from extension law / TIF receipts alone</x:v>
      </x:c>
      <x:c r="P42" s="13" t="str"/>
      <x:c r="Q42" s="12" t="str"/>
      <x:c r="R42" s="24" t="e">
        <x:f>HYPERLINK("https://www.ilga.gov/ftp/Public%20Acts/102/102-0627.htm","Signed Public Act")</x:f>
        <x:v>HYPERLINK is not implemented. linkLocation=https://www.ilga.gov/ftp/Public%20Acts/102/102-0627.htm, friendlyName=Signed Public Act</x:v>
      </x:c>
      <x:c r="S42" s="24" t="e">
        <x:f>HYPERLINK("https://legiscan.com/IL/bill/SB1822/2021","Signing history")</x:f>
        <x:v>HYPERLINK is not implemented. linkLocation=https://legiscan.com/IL/bill/SB1822/2021, friendlyName=Signing history</x:v>
      </x:c>
      <x:c r="T42" s="24" t="e">
        <x:f>HYPERLINK("https://files.illinoiscomptroller.gov/LocGovTIF/FY2024/01604032/24TIF01604032South_2014_1.pdf","TIF annual reporting")</x:f>
        <x:v>HYPERLINK is not implemented. linkLocation=https://files.illinoiscomptroller.gov/LocGovTIF/FY2024/01604032/24TIF01604032South_2014_1.pdf, friendlyName=TIF annual reporting</x:v>
      </x:c>
      <x:c r="U42" s="24" t="e">
        <x:f>HYPERLINK("https://illinoiscomptroller.gov/constituent-services/local-government/local-government-warehouse/landingpage?code=016%2F040%2F32","Municipal report index")</x:f>
        <x:v>HYPERLINK is not implemented. linkLocation=https://illinoiscomptroller.gov/constituent-services/local-government/local-government-warehouse/landingpage?code=016%2F040%2F32, friendlyName=Municipal report index</x:v>
      </x:c>
      <x:c r="V42" s="24" t="e">
        <x:f>HYPERLINK("https://news.wttw.com/sites/default/files/article/file-attachments/2024-tif-report.pdf#page=35","Financial source")</x:f>
        <x:v>HYPERLINK is not implemented. linkLocation=https://news.wttw.com/sites/default/files/article/file-attachments/2024-tif-report.pdf#page=35, friendlyName=Financial source</x:v>
      </x:c>
      <x:c r="W42" s="24" t="str">
        <x:v>Cook County Clerk 2024 TIF report; 03-0070-512; Bellwood - South 2014; PDF page 35</x:v>
      </x:c>
      <x:c r="X42" s="24" t="e">
        <x:f>HYPERLINK("https://www.ilga.gov/ftp/Public%20Acts/102/102-0627.htm","Name source")</x:f>
        <x:v>HYPERLINK is not implemented. linkLocation=https://www.ilga.gov/ftp/Public%20Acts/102/102-0627.htm, friendlyName=Name source</x:v>
      </x:c>
      <x:c r="Y42" s="1" t="n">
        <x:v>1</x:v>
      </x:c>
      <x:c r="Z42" s="1"/>
      <x:c r="AA42" s="1"/>
    </x:row>
    <x:row r="43" ht="54" customHeight="1">
      <x:c r="A43" s="12" t="n">
        <x:v>36</x:v>
      </x:c>
      <x:c r="B43" s="12" t="str">
        <x:v>SB 1822</x:v>
      </x:c>
      <x:c r="C43" s="12" t="str">
        <x:v>102-0627</x:v>
      </x:c>
      <x:c r="D43" s="17" t="d">
        <x:v>2021-08-27T00:00:00.000Z</x:v>
      </x:c>
      <x:c r="E43" s="18" t="str">
        <x:v>Bellwood</x:v>
      </x:c>
      <x:c r="F43" s="13" t="str">
        <x:v>Central Metro-2014 TIF</x:v>
      </x:c>
      <x:c r="G43" s="15" t="d">
        <x:v>2014-07-16T00:00:00.000Z</x:v>
      </x:c>
      <x:c r="H43" s="19" t="n">
        <x:v>23</x:v>
      </x:c>
      <x:c r="I43" s="19" t="n">
        <x:v>35</x:v>
      </x:c>
      <x:c r="J43" s="19" t="n">
        <x:v>12</x:v>
      </x:c>
      <x:c r="K43" s="19" t="str">
        <x:v>c(197)</x:v>
      </x:c>
      <x:c r="L43" s="12" t="str">
        <x:v>Tax year 2024</x:v>
      </x:c>
      <x:c r="M43" s="23" t="n">
        <x:v>3004594.71</x:v>
      </x:c>
      <x:c r="N43" s="22" t="n">
        <x:f>IF(ISNUMBER(M43),M43*J43,"")</x:f>
        <x:v>36055136.519999996</x:v>
      </x:c>
      <x:c r="O43" s="13" t="str">
        <x:v>Not determinable from extension law / TIF receipts alone</x:v>
      </x:c>
      <x:c r="P43" s="13" t="str"/>
      <x:c r="Q43" s="12" t="str"/>
      <x:c r="R43" s="24" t="e">
        <x:f>HYPERLINK("https://www.ilga.gov/ftp/Public%20Acts/102/102-0627.htm","Signed Public Act")</x:f>
        <x:v>HYPERLINK is not implemented. linkLocation=https://www.ilga.gov/ftp/Public%20Acts/102/102-0627.htm, friendlyName=Signed Public Act</x:v>
      </x:c>
      <x:c r="S43" s="24" t="e">
        <x:f>HYPERLINK("https://legiscan.com/IL/bill/SB1822/2021","Signing history")</x:f>
        <x:v>HYPERLINK is not implemented. linkLocation=https://legiscan.com/IL/bill/SB1822/2021, friendlyName=Signing history</x:v>
      </x:c>
      <x:c r="T43" s="24" t="e">
        <x:f>HYPERLINK("https://files.illinoiscomptroller.gov/LocGovTIF/FY2024/01604032/24TIF01604032Central_Mtro_2014_1.pdf","TIF annual reporting")</x:f>
        <x:v>HYPERLINK is not implemented. linkLocation=https://files.illinoiscomptroller.gov/LocGovTIF/FY2024/01604032/24TIF01604032Central_Mtro_2014_1.pdf, friendlyName=TIF annual reporting</x:v>
      </x:c>
      <x:c r="U43" s="24" t="e">
        <x:f>HYPERLINK("https://illinoiscomptroller.gov/constituent-services/local-government/local-government-warehouse/landingpage?code=016%2F040%2F32","Municipal report index")</x:f>
        <x:v>HYPERLINK is not implemented. linkLocation=https://illinoiscomptroller.gov/constituent-services/local-government/local-government-warehouse/landingpage?code=016%2F040%2F32, friendlyName=Municipal report index</x:v>
      </x:c>
      <x:c r="V43" s="24" t="e">
        <x:f>HYPERLINK("https://news.wttw.com/sites/default/files/article/file-attachments/2024-tif-report.pdf#page=35","Financial source")</x:f>
        <x:v>HYPERLINK is not implemented. linkLocation=https://news.wttw.com/sites/default/files/article/file-attachments/2024-tif-report.pdf#page=35, friendlyName=Financial source</x:v>
      </x:c>
      <x:c r="W43" s="24" t="str">
        <x:v>Cook County Clerk 2024 TIF report; 03-0070-511; Bellwood - Central Metro 2014; PDF page 35</x:v>
      </x:c>
      <x:c r="X43" s="24" t="e">
        <x:f>HYPERLINK("https://www.ilga.gov/ftp/Public%20Acts/102/102-0627.htm","Name source")</x:f>
        <x:v>HYPERLINK is not implemented. linkLocation=https://www.ilga.gov/ftp/Public%20Acts/102/102-0627.htm, friendlyName=Name source</x:v>
      </x:c>
      <x:c r="Y43" s="1" t="n">
        <x:v>1</x:v>
      </x:c>
      <x:c r="Z43" s="1"/>
      <x:c r="AA43" s="1"/>
    </x:row>
    <x:row r="44" ht="54" customHeight="1">
      <x:c r="A44" s="12" t="n">
        <x:v>37</x:v>
      </x:c>
      <x:c r="B44" s="12" t="str">
        <x:v>SB 1822</x:v>
      </x:c>
      <x:c r="C44" s="12" t="str">
        <x:v>102-0627</x:v>
      </x:c>
      <x:c r="D44" s="17" t="d">
        <x:v>2021-08-27T00:00:00.000Z</x:v>
      </x:c>
      <x:c r="E44" s="18" t="str">
        <x:v>Bellwood</x:v>
      </x:c>
      <x:c r="F44" s="13" t="str">
        <x:v>Addison Creek "A" (Southwest)-2014 TIF</x:v>
      </x:c>
      <x:c r="G44" s="15" t="d">
        <x:v>2014-09-17T00:00:00.000Z</x:v>
      </x:c>
      <x:c r="H44" s="19" t="n">
        <x:v>23</x:v>
      </x:c>
      <x:c r="I44" s="19" t="n">
        <x:v>35</x:v>
      </x:c>
      <x:c r="J44" s="19" t="n">
        <x:v>12</x:v>
      </x:c>
      <x:c r="K44" s="19" t="str">
        <x:v>c(198)</x:v>
      </x:c>
      <x:c r="L44" s="12" t="str">
        <x:v>Tax year 2024</x:v>
      </x:c>
      <x:c r="M44" s="23" t="n">
        <x:v>2906709.72</x:v>
      </x:c>
      <x:c r="N44" s="22" t="n">
        <x:f>IF(ISNUMBER(M44),M44*J44,"")</x:f>
        <x:v>34880516.64</x:v>
      </x:c>
      <x:c r="O44" s="13" t="str">
        <x:v>Not determinable from extension law / TIF receipts alone</x:v>
      </x:c>
      <x:c r="P44" s="13" t="str"/>
      <x:c r="Q44" s="12" t="str"/>
      <x:c r="R44" s="24" t="e">
        <x:f>HYPERLINK("https://www.ilga.gov/ftp/Public%20Acts/102/102-0627.htm","Signed Public Act")</x:f>
        <x:v>HYPERLINK is not implemented. linkLocation=https://www.ilga.gov/ftp/Public%20Acts/102/102-0627.htm, friendlyName=Signed Public Act</x:v>
      </x:c>
      <x:c r="S44" s="24" t="e">
        <x:f>HYPERLINK("https://legiscan.com/IL/bill/SB1822/2021","Signing history")</x:f>
        <x:v>HYPERLINK is not implemented. linkLocation=https://legiscan.com/IL/bill/SB1822/2021, friendlyName=Signing history</x:v>
      </x:c>
      <x:c r="T44" s="24" t="e">
        <x:f>HYPERLINK("https://files.illinoiscomptroller.gov/LocGovTIF/FY2024/01604032/24TIF01604032Addison_CA-SW2014_1.pdf","TIF annual reporting")</x:f>
        <x:v>HYPERLINK is not implemented. linkLocation=https://files.illinoiscomptroller.gov/LocGovTIF/FY2024/01604032/24TIF01604032Addison_CA-SW2014_1.pdf, friendlyName=TIF annual reporting</x:v>
      </x:c>
      <x:c r="U44" s="24" t="e">
        <x:f>HYPERLINK("https://illinoiscomptroller.gov/constituent-services/local-government/local-government-warehouse/landingpage?code=016%2F040%2F32","Municipal report index")</x:f>
        <x:v>HYPERLINK is not implemented. linkLocation=https://illinoiscomptroller.gov/constituent-services/local-government/local-government-warehouse/landingpage?code=016%2F040%2F32, friendlyName=Municipal report index</x:v>
      </x:c>
      <x:c r="V44" s="24" t="e">
        <x:f>HYPERLINK("https://news.wttw.com/sites/default/files/article/file-attachments/2024-tif-report.pdf#page=35","Financial source")</x:f>
        <x:v>HYPERLINK is not implemented. linkLocation=https://news.wttw.com/sites/default/files/article/file-attachments/2024-tif-report.pdf#page=35, friendlyName=Financial source</x:v>
      </x:c>
      <x:c r="W44" s="24" t="str">
        <x:v>Cook County Clerk 2024 TIF report; 03-0070-514; Bellwood - Addison Creek 'A' 2014; PDF page 35</x:v>
      </x:c>
      <x:c r="X44" s="24" t="e">
        <x:f>HYPERLINK("https://www.ilga.gov/ftp/Public%20Acts/102/102-0627.htm","Name source")</x:f>
        <x:v>HYPERLINK is not implemented. linkLocation=https://www.ilga.gov/ftp/Public%20Acts/102/102-0627.htm, friendlyName=Name source</x:v>
      </x:c>
      <x:c r="Y44" s="1" t="n">
        <x:v>1</x:v>
      </x:c>
      <x:c r="Z44" s="1"/>
      <x:c r="AA44" s="1"/>
    </x:row>
    <x:row r="45" ht="54" customHeight="1">
      <x:c r="A45" s="12" t="n">
        <x:v>38</x:v>
      </x:c>
      <x:c r="B45" s="12" t="str">
        <x:v>SB 1822</x:v>
      </x:c>
      <x:c r="C45" s="12" t="str">
        <x:v>102-0627</x:v>
      </x:c>
      <x:c r="D45" s="17" t="d">
        <x:v>2021-08-27T00:00:00.000Z</x:v>
      </x:c>
      <x:c r="E45" s="18" t="str">
        <x:v>Bellwood</x:v>
      </x:c>
      <x:c r="F45" s="13" t="str">
        <x:v>Addison Creek "B" (Northwest)-2014 TIF</x:v>
      </x:c>
      <x:c r="G45" s="15" t="d">
        <x:v>2014-09-17T00:00:00.000Z</x:v>
      </x:c>
      <x:c r="H45" s="19" t="n">
        <x:v>23</x:v>
      </x:c>
      <x:c r="I45" s="19" t="n">
        <x:v>35</x:v>
      </x:c>
      <x:c r="J45" s="19" t="n">
        <x:v>12</x:v>
      </x:c>
      <x:c r="K45" s="19" t="str">
        <x:v>c(199)</x:v>
      </x:c>
      <x:c r="L45" s="12" t="str">
        <x:v>Tax year 2024</x:v>
      </x:c>
      <x:c r="M45" s="23" t="n">
        <x:v>1680108.37</x:v>
      </x:c>
      <x:c r="N45" s="22" t="n">
        <x:f>IF(ISNUMBER(M45),M45*J45,"")</x:f>
        <x:v>20161300.44</x:v>
      </x:c>
      <x:c r="O45" s="13" t="str">
        <x:v>Not determinable from extension law / TIF receipts alone</x:v>
      </x:c>
      <x:c r="P45" s="13" t="str"/>
      <x:c r="Q45" s="12" t="str"/>
      <x:c r="R45" s="24" t="e">
        <x:f>HYPERLINK("https://www.ilga.gov/ftp/Public%20Acts/102/102-0627.htm","Signed Public Act")</x:f>
        <x:v>HYPERLINK is not implemented. linkLocation=https://www.ilga.gov/ftp/Public%20Acts/102/102-0627.htm, friendlyName=Signed Public Act</x:v>
      </x:c>
      <x:c r="S45" s="24" t="e">
        <x:f>HYPERLINK("https://legiscan.com/IL/bill/SB1822/2021","Signing history")</x:f>
        <x:v>HYPERLINK is not implemented. linkLocation=https://legiscan.com/IL/bill/SB1822/2021, friendlyName=Signing history</x:v>
      </x:c>
      <x:c r="T45" s="24" t="e">
        <x:f>HYPERLINK("https://files.illinoiscomptroller.gov/LocGovTIF/FY2024/01604032/24TIF01604032Addison_CB-NW2014_1.pdf","TIF annual reporting")</x:f>
        <x:v>HYPERLINK is not implemented. linkLocation=https://files.illinoiscomptroller.gov/LocGovTIF/FY2024/01604032/24TIF01604032Addison_CB-NW2014_1.pdf, friendlyName=TIF annual reporting</x:v>
      </x:c>
      <x:c r="U45" s="24" t="e">
        <x:f>HYPERLINK("https://illinoiscomptroller.gov/constituent-services/local-government/local-government-warehouse/landingpage?code=016%2F040%2F32","Municipal report index")</x:f>
        <x:v>HYPERLINK is not implemented. linkLocation=https://illinoiscomptroller.gov/constituent-services/local-government/local-government-warehouse/landingpage?code=016%2F040%2F32, friendlyName=Municipal report index</x:v>
      </x:c>
      <x:c r="V45" s="24" t="e">
        <x:f>HYPERLINK("https://news.wttw.com/sites/default/files/article/file-attachments/2024-tif-report.pdf#page=35","Financial source")</x:f>
        <x:v>HYPERLINK is not implemented. linkLocation=https://news.wttw.com/sites/default/files/article/file-attachments/2024-tif-report.pdf#page=35, friendlyName=Financial source</x:v>
      </x:c>
      <x:c r="W45" s="24" t="str">
        <x:v>Cook County Clerk 2024 TIF report; 03-0070-515; Bellwood - Addison Creek 'B' 2014; PDF page 35</x:v>
      </x:c>
      <x:c r="X45" s="24" t="e">
        <x:f>HYPERLINK("https://www.ilga.gov/ftp/Public%20Acts/102/102-0627.htm","Name source")</x:f>
        <x:v>HYPERLINK is not implemented. linkLocation=https://www.ilga.gov/ftp/Public%20Acts/102/102-0627.htm, friendlyName=Name source</x:v>
      </x:c>
      <x:c r="Y45" s="1" t="n">
        <x:v>1</x:v>
      </x:c>
      <x:c r="Z45" s="1"/>
      <x:c r="AA45" s="1"/>
    </x:row>
    <x:row r="46" ht="54" customHeight="1">
      <x:c r="A46" s="12" t="n">
        <x:v>39</x:v>
      </x:c>
      <x:c r="B46" s="12" t="str">
        <x:v>SB 1822</x:v>
      </x:c>
      <x:c r="C46" s="12" t="str">
        <x:v>102-0627</x:v>
      </x:c>
      <x:c r="D46" s="17" t="d">
        <x:v>2021-08-27T00:00:00.000Z</x:v>
      </x:c>
      <x:c r="E46" s="18" t="str">
        <x:v>Bellwood</x:v>
      </x:c>
      <x:c r="F46" s="13" t="str">
        <x:v>Addison Creek "C" (Northeast)-2014 TIF</x:v>
      </x:c>
      <x:c r="G46" s="15" t="d">
        <x:v>2014-09-17T00:00:00.000Z</x:v>
      </x:c>
      <x:c r="H46" s="19" t="n">
        <x:v>23</x:v>
      </x:c>
      <x:c r="I46" s="19" t="n">
        <x:v>35</x:v>
      </x:c>
      <x:c r="J46" s="19" t="n">
        <x:v>12</x:v>
      </x:c>
      <x:c r="K46" s="19" t="str">
        <x:v>c(200)</x:v>
      </x:c>
      <x:c r="L46" s="12" t="str">
        <x:v>Tax year 2024</x:v>
      </x:c>
      <x:c r="M46" s="23" t="n">
        <x:v>1433369.6</x:v>
      </x:c>
      <x:c r="N46" s="22" t="n">
        <x:f>IF(ISNUMBER(M46),M46*J46,"")</x:f>
        <x:v>17200435.200000003</x:v>
      </x:c>
      <x:c r="O46" s="13" t="str">
        <x:v>Not determinable from extension law / TIF receipts alone</x:v>
      </x:c>
      <x:c r="P46" s="13" t="str"/>
      <x:c r="Q46" s="12" t="str"/>
      <x:c r="R46" s="24" t="e">
        <x:f>HYPERLINK("https://www.ilga.gov/ftp/Public%20Acts/102/102-0627.htm","Signed Public Act")</x:f>
        <x:v>HYPERLINK is not implemented. linkLocation=https://www.ilga.gov/ftp/Public%20Acts/102/102-0627.htm, friendlyName=Signed Public Act</x:v>
      </x:c>
      <x:c r="S46" s="24" t="e">
        <x:f>HYPERLINK("https://legiscan.com/IL/bill/SB1822/2021","Signing history")</x:f>
        <x:v>HYPERLINK is not implemented. linkLocation=https://legiscan.com/IL/bill/SB1822/2021, friendlyName=Signing history</x:v>
      </x:c>
      <x:c r="T46" s="24" t="e">
        <x:f>HYPERLINK("https://files.illinoiscomptroller.gov/LocGovTIF/FY2024/01604032/24TIF01604032Addison_CC-NE2014_1.pdf","TIF annual reporting")</x:f>
        <x:v>HYPERLINK is not implemented. linkLocation=https://files.illinoiscomptroller.gov/LocGovTIF/FY2024/01604032/24TIF01604032Addison_CC-NE2014_1.pdf, friendlyName=TIF annual reporting</x:v>
      </x:c>
      <x:c r="U46" s="24" t="e">
        <x:f>HYPERLINK("https://illinoiscomptroller.gov/constituent-services/local-government/local-government-warehouse/landingpage?code=016%2F040%2F32","Municipal report index")</x:f>
        <x:v>HYPERLINK is not implemented. linkLocation=https://illinoiscomptroller.gov/constituent-services/local-government/local-government-warehouse/landingpage?code=016%2F040%2F32, friendlyName=Municipal report index</x:v>
      </x:c>
      <x:c r="V46" s="24" t="e">
        <x:f>HYPERLINK("https://news.wttw.com/sites/default/files/article/file-attachments/2024-tif-report.pdf#page=35","Financial source")</x:f>
        <x:v>HYPERLINK is not implemented. linkLocation=https://news.wttw.com/sites/default/files/article/file-attachments/2024-tif-report.pdf#page=35, friendlyName=Financial source</x:v>
      </x:c>
      <x:c r="W46" s="24" t="str">
        <x:v>Cook County Clerk 2024 TIF report; 03-0070-516; Bellwood - Addison Creek 'C' 2014; PDF page 35</x:v>
      </x:c>
      <x:c r="X46" s="24" t="e">
        <x:f>HYPERLINK("https://www.ilga.gov/ftp/Public%20Acts/102/102-0627.htm","Name source")</x:f>
        <x:v>HYPERLINK is not implemented. linkLocation=https://www.ilga.gov/ftp/Public%20Acts/102/102-0627.htm, friendlyName=Name source</x:v>
      </x:c>
      <x:c r="Y46" s="1" t="n">
        <x:v>1</x:v>
      </x:c>
      <x:c r="Z46" s="1"/>
      <x:c r="AA46" s="1"/>
    </x:row>
    <x:row r="47" ht="54" customHeight="1">
      <x:c r="A47" s="12" t="n">
        <x:v>40</x:v>
      </x:c>
      <x:c r="B47" s="12" t="str">
        <x:v>SB 1822</x:v>
      </x:c>
      <x:c r="C47" s="12" t="str">
        <x:v>102-0627</x:v>
      </x:c>
      <x:c r="D47" s="17" t="d">
        <x:v>2021-08-27T00:00:00.000Z</x:v>
      </x:c>
      <x:c r="E47" s="18" t="str">
        <x:v>Bellwood</x:v>
      </x:c>
      <x:c r="F47" s="13" t="str">
        <x:v>Addison Creek "D" (Southeast)-2014 TIF</x:v>
      </x:c>
      <x:c r="G47" s="15" t="d">
        <x:v>2014-09-17T00:00:00.000Z</x:v>
      </x:c>
      <x:c r="H47" s="19" t="n">
        <x:v>23</x:v>
      </x:c>
      <x:c r="I47" s="19" t="n">
        <x:v>35</x:v>
      </x:c>
      <x:c r="J47" s="19" t="n">
        <x:v>12</x:v>
      </x:c>
      <x:c r="K47" s="19" t="str">
        <x:v>c(201)</x:v>
      </x:c>
      <x:c r="L47" s="12" t="str">
        <x:v>Tax year 2024</x:v>
      </x:c>
      <x:c r="M47" s="23" t="n">
        <x:v>269898.48</x:v>
      </x:c>
      <x:c r="N47" s="22" t="n">
        <x:f>IF(ISNUMBER(M47),M47*J47,"")</x:f>
        <x:v>3238781.76</x:v>
      </x:c>
      <x:c r="O47" s="13" t="str">
        <x:v>Not determinable from extension law / TIF receipts alone</x:v>
      </x:c>
      <x:c r="P47" s="13" t="str"/>
      <x:c r="Q47" s="12" t="str"/>
      <x:c r="R47" s="24" t="e">
        <x:f>HYPERLINK("https://www.ilga.gov/ftp/Public%20Acts/102/102-0627.htm","Signed Public Act")</x:f>
        <x:v>HYPERLINK is not implemented. linkLocation=https://www.ilga.gov/ftp/Public%20Acts/102/102-0627.htm, friendlyName=Signed Public Act</x:v>
      </x:c>
      <x:c r="S47" s="24" t="e">
        <x:f>HYPERLINK("https://legiscan.com/IL/bill/SB1822/2021","Signing history")</x:f>
        <x:v>HYPERLINK is not implemented. linkLocation=https://legiscan.com/IL/bill/SB1822/2021, friendlyName=Signing history</x:v>
      </x:c>
      <x:c r="T47" s="24" t="e">
        <x:f>HYPERLINK("https://files.illinoiscomptroller.gov/LocGovTIF/FY2024/01604032/24TIF01604032Addison_CD-SE2014_1.pdf","TIF annual reporting")</x:f>
        <x:v>HYPERLINK is not implemented. linkLocation=https://files.illinoiscomptroller.gov/LocGovTIF/FY2024/01604032/24TIF01604032Addison_CD-SE2014_1.pdf, friendlyName=TIF annual reporting</x:v>
      </x:c>
      <x:c r="U47" s="24" t="e">
        <x:f>HYPERLINK("https://illinoiscomptroller.gov/constituent-services/local-government/local-government-warehouse/landingpage?code=016%2F040%2F32","Municipal report index")</x:f>
        <x:v>HYPERLINK is not implemented. linkLocation=https://illinoiscomptroller.gov/constituent-services/local-government/local-government-warehouse/landingpage?code=016%2F040%2F32, friendlyName=Municipal report index</x:v>
      </x:c>
      <x:c r="V47" s="24" t="e">
        <x:f>HYPERLINK("https://news.wttw.com/sites/default/files/article/file-attachments/2024-tif-report.pdf#page=35","Financial source")</x:f>
        <x:v>HYPERLINK is not implemented. linkLocation=https://news.wttw.com/sites/default/files/article/file-attachments/2024-tif-report.pdf#page=35, friendlyName=Financial source</x:v>
      </x:c>
      <x:c r="W47" s="24" t="str">
        <x:v>Cook County Clerk 2024 TIF report; 03-0070-517; Bellwood - Addison Creek 'D' 2014; PDF page 35</x:v>
      </x:c>
      <x:c r="X47" s="24" t="e">
        <x:f>HYPERLINK("https://www.ilga.gov/ftp/Public%20Acts/102/102-0627.htm","Name source")</x:f>
        <x:v>HYPERLINK is not implemented. linkLocation=https://www.ilga.gov/ftp/Public%20Acts/102/102-0627.htm, friendlyName=Name source</x:v>
      </x:c>
      <x:c r="Y47" s="1" t="n">
        <x:v>1</x:v>
      </x:c>
      <x:c r="Z47" s="1"/>
      <x:c r="AA47" s="1"/>
    </x:row>
    <x:row r="48" ht="54" customHeight="1">
      <x:c r="A48" s="12" t="n">
        <x:v>41</x:v>
      </x:c>
      <x:c r="B48" s="12" t="str">
        <x:v>SB 1822</x:v>
      </x:c>
      <x:c r="C48" s="12" t="str">
        <x:v>102-0627</x:v>
      </x:c>
      <x:c r="D48" s="17" t="d">
        <x:v>2021-08-27T00:00:00.000Z</x:v>
      </x:c>
      <x:c r="E48" s="18" t="str">
        <x:v>Peoria</x:v>
      </x:c>
      <x:c r="F48" s="13" t="str">
        <x:v>Warehouse District</x:v>
      </x:c>
      <x:c r="G48" s="15" t="d">
        <x:v>2007-06-26T00:00:00.000Z</x:v>
      </x:c>
      <x:c r="H48" s="19" t="n">
        <x:v>23</x:v>
      </x:c>
      <x:c r="I48" s="19" t="n">
        <x:v>35</x:v>
      </x:c>
      <x:c r="J48" s="19" t="n">
        <x:v>12</x:v>
      </x:c>
      <x:c r="K48" s="19" t="str">
        <x:v>c(202)</x:v>
      </x:c>
      <x:c r="L48" s="12" t="str">
        <x:v>Fiscal year 2025</x:v>
      </x:c>
      <x:c r="M48" s="23" t="n">
        <x:v>1562551</x:v>
      </x:c>
      <x:c r="N48" s="22" t="n">
        <x:f>IF(ISNUMBER(M48),M48*J48,"")</x:f>
        <x:v>18750612</x:v>
      </x:c>
      <x:c r="O48" s="13" t="str">
        <x:v>Not determinable from extension law / TIF receipts alone</x:v>
      </x:c>
      <x:c r="P48" s="13" t="str"/>
      <x:c r="Q48" s="12" t="str"/>
      <x:c r="R48" s="24" t="e">
        <x:f>HYPERLINK("https://www.ilga.gov/ftp/Public%20Acts/102/102-0627.htm","Signed Public Act")</x:f>
        <x:v>HYPERLINK is not implemented. linkLocation=https://www.ilga.gov/ftp/Public%20Acts/102/102-0627.htm, friendlyName=Signed Public Act</x:v>
      </x:c>
      <x:c r="S48" s="24" t="e">
        <x:f>HYPERLINK("https://legiscan.com/IL/bill/SB1822/2021","Signing history")</x:f>
        <x:v>HYPERLINK is not implemented. linkLocation=https://legiscan.com/IL/bill/SB1822/2021, friendlyName=Signing history</x:v>
      </x:c>
      <x:c r="T48" s="24" t="e">
        <x:f>HYPERLINK("https://files.illinoiscomptroller.gov/LocGovTIF/FY2025/07206530/25TIF07206530WarehouseDistrict_1.pdf","TIF annual reporting")</x:f>
        <x:v>HYPERLINK is not implemented. linkLocation=https://files.illinoiscomptroller.gov/LocGovTIF/FY2025/07206530/25TIF07206530WarehouseDistrict_1.pdf, friendlyName=TIF annual reporting</x:v>
      </x:c>
      <x:c r="U48" s="24" t="e">
        <x:f>HYPERLINK("https://illinoiscomptroller.gov/constituent-services/local-government/local-government-warehouse/landingpage?code=072%2F065%2F30","Municipal report index")</x:f>
        <x:v>HYPERLINK is not implemented. linkLocation=https://illinoiscomptroller.gov/constituent-services/local-government/local-government-warehouse/landingpage?code=072%2F065%2F30, friendlyName=Municipal report index</x:v>
      </x:c>
      <x:c r="V48" s="24" t="e">
        <x:f>HYPERLINK("https://files.illinoiscomptroller.gov/LocGovTIF/FY2025/07206530/25TIF07206530WarehouseDistrict_1.pdf#page=3","Financial source")</x:f>
        <x:v>HYPERLINK is not implemented. linkLocation=https://files.illinoiscomptroller.gov/LocGovTIF/FY2025/07206530/25TIF07206530WarehouseDistrict_1.pdf#page=3, friendlyName=Financial source</x:v>
      </x:c>
      <x:c r="W48" s="24" t="str">
        <x:v>Municipal TIF annual report, section 3.1, current-year Property Tax Increment. FY 2025</x:v>
      </x:c>
      <x:c r="X48" s="24" t="e">
        <x:f>HYPERLINK("https://d3n9y02raazwpg.cloudfront.net/peoriaparks/dd3f4d50-3eef-11eb-bc32-0050569183fa-d3505609-af37-471e-9fcf-c54664fd4ac6-1620824069.pdf","Name source")</x:f>
        <x:v>HYPERLINK is not implemented. linkLocation=https://d3n9y02raazwpg.cloudfront.net/peoriaparks/dd3f4d50-3eef-11eb-bc32-0050569183fa-d3505609-af37-471e-9fcf-c54664fd4ac6-1620824069.pdf, friendlyName=Name source</x:v>
      </x:c>
      <x:c r="Y48" s="1" t="n">
        <x:v>1</x:v>
      </x:c>
      <x:c r="Z48" s="1"/>
      <x:c r="AA48" s="1"/>
    </x:row>
    <x:row r="49" ht="54" customHeight="1">
      <x:c r="A49" s="12" t="n">
        <x:v>42</x:v>
      </x:c>
      <x:c r="B49" s="12" t="str">
        <x:v>SB 1822</x:v>
      </x:c>
      <x:c r="C49" s="12" t="str">
        <x:v>102-0627</x:v>
      </x:c>
      <x:c r="D49" s="17" t="d">
        <x:v>2021-08-27T00:00:00.000Z</x:v>
      </x:c>
      <x:c r="E49" s="18" t="str">
        <x:v>Peoria</x:v>
      </x:c>
      <x:c r="F49" s="13" t="str">
        <x:v>Hospitality Improvement Zone</x:v>
      </x:c>
      <x:c r="G49" s="15" t="d">
        <x:v>2008-10-28T00:00:00.000Z</x:v>
      </x:c>
      <x:c r="H49" s="19" t="n">
        <x:v>23</x:v>
      </x:c>
      <x:c r="I49" s="19" t="n">
        <x:v>35</x:v>
      </x:c>
      <x:c r="J49" s="19" t="n">
        <x:v>12</x:v>
      </x:c>
      <x:c r="K49" s="19" t="str">
        <x:v>c(203)</x:v>
      </x:c>
      <x:c r="L49" s="12" t="str">
        <x:v>Fiscal year 2025</x:v>
      </x:c>
      <x:c r="M49" s="23" t="n">
        <x:v>1236643</x:v>
      </x:c>
      <x:c r="N49" s="22" t="n">
        <x:f>IF(ISNUMBER(M49),M49*J49,"")</x:f>
        <x:v>14839716</x:v>
      </x:c>
      <x:c r="O49" s="13" t="str">
        <x:v>Not determinable from extension law / TIF receipts alone</x:v>
      </x:c>
      <x:c r="P49" s="13" t="str"/>
      <x:c r="Q49" s="12" t="str"/>
      <x:c r="R49" s="24" t="e">
        <x:f>HYPERLINK("https://www.ilga.gov/ftp/Public%20Acts/102/102-0627.htm","Signed Public Act")</x:f>
        <x:v>HYPERLINK is not implemented. linkLocation=https://www.ilga.gov/ftp/Public%20Acts/102/102-0627.htm, friendlyName=Signed Public Act</x:v>
      </x:c>
      <x:c r="S49" s="24" t="e">
        <x:f>HYPERLINK("https://legiscan.com/IL/bill/SB1822/2021","Signing history")</x:f>
        <x:v>HYPERLINK is not implemented. linkLocation=https://legiscan.com/IL/bill/SB1822/2021, friendlyName=Signing history</x:v>
      </x:c>
      <x:c r="T49" s="24" t="e">
        <x:f>HYPERLINK("https://files.illinoiscomptroller.gov/LocGovTIF/FY2025/07206530/25TIF07206530Hospitalient_Zone_1.pdf","TIF annual reporting")</x:f>
        <x:v>HYPERLINK is not implemented. linkLocation=https://files.illinoiscomptroller.gov/LocGovTIF/FY2025/07206530/25TIF07206530Hospitalient_Zone_1.pdf, friendlyName=TIF annual reporting</x:v>
      </x:c>
      <x:c r="U49" s="24" t="e">
        <x:f>HYPERLINK("https://illinoiscomptroller.gov/constituent-services/local-government/local-government-warehouse/landingpage?code=072%2F065%2F30","Municipal report index")</x:f>
        <x:v>HYPERLINK is not implemented. linkLocation=https://illinoiscomptroller.gov/constituent-services/local-government/local-government-warehouse/landingpage?code=072%2F065%2F30, friendlyName=Municipal report index</x:v>
      </x:c>
      <x:c r="V49" s="24" t="e">
        <x:f>HYPERLINK("https://files.illinoiscomptroller.gov/LocGovTIF/FY2025/07206530/25TIF07206530Hospitalient_Zone_1.pdf#page=3","Financial source")</x:f>
        <x:v>HYPERLINK is not implemented. linkLocation=https://files.illinoiscomptroller.gov/LocGovTIF/FY2025/07206530/25TIF07206530Hospitalient_Zone_1.pdf#page=3, friendlyName=Financial source</x:v>
      </x:c>
      <x:c r="W49" s="24" t="str">
        <x:v>Municipal TIF annual report, section 3.1, current-year Property Tax Increment. FY 2025</x:v>
      </x:c>
      <x:c r="X49" s="24" t="e">
        <x:f>HYPERLINK("https://files.illinoiscomptroller.gov/LocGovTIF/FY2025/07206530/25TIF07206530Hospitalient_Zone_1.pdf","Name source")</x:f>
        <x:v>HYPERLINK is not implemented. linkLocation=https://files.illinoiscomptroller.gov/LocGovTIF/FY2025/07206530/25TIF07206530Hospitalient_Zone_1.pdf, friendlyName=Name source</x:v>
      </x:c>
      <x:c r="Y49" s="1" t="n">
        <x:v>1</x:v>
      </x:c>
      <x:c r="Z49" s="1"/>
      <x:c r="AA49" s="1"/>
    </x:row>
    <x:row r="50" ht="54" customHeight="1">
      <x:c r="A50" s="12" t="n">
        <x:v>43</x:v>
      </x:c>
      <x:c r="B50" s="12" t="str">
        <x:v>SB 1822</x:v>
      </x:c>
      <x:c r="C50" s="12" t="str">
        <x:v>102-0627</x:v>
      </x:c>
      <x:c r="D50" s="17" t="d">
        <x:v>2021-08-27T00:00:00.000Z</x:v>
      </x:c>
      <x:c r="E50" s="18" t="str">
        <x:v>Joliet</x:v>
      </x:c>
      <x:c r="F50" s="13" t="str">
        <x:v>Joliet City Center TIF District</x:v>
      </x:c>
      <x:c r="G50" s="15" t="d">
        <x:v>2000-04-04T00:00:00.000Z</x:v>
      </x:c>
      <x:c r="H50" s="19" t="n">
        <x:v>23</x:v>
      </x:c>
      <x:c r="I50" s="19" t="n">
        <x:v>35</x:v>
      </x:c>
      <x:c r="J50" s="19" t="n">
        <x:v>12</x:v>
      </x:c>
      <x:c r="K50" s="19" t="str">
        <x:v>c(204)</x:v>
      </x:c>
      <x:c r="L50" s="12" t="str">
        <x:v>Fiscal year 2024</x:v>
      </x:c>
      <x:c r="M50" s="23" t="n">
        <x:v>418509</x:v>
      </x:c>
      <x:c r="N50" s="22" t="n">
        <x:f>IF(ISNUMBER(M50),M50*J50,"")</x:f>
        <x:v>5022108</x:v>
      </x:c>
      <x:c r="O50" s="13" t="str">
        <x:v>Not determinable from extension law / TIF receipts alone</x:v>
      </x:c>
      <x:c r="P50" s="13" t="str"/>
      <x:c r="Q50" s="12" t="str"/>
      <x:c r="R50" s="24" t="e">
        <x:f>HYPERLINK("https://www.ilga.gov/ftp/Public%20Acts/102/102-0627.htm","Signed Public Act")</x:f>
        <x:v>HYPERLINK is not implemented. linkLocation=https://www.ilga.gov/ftp/Public%20Acts/102/102-0627.htm, friendlyName=Signed Public Act</x:v>
      </x:c>
      <x:c r="S50" s="24" t="e">
        <x:f>HYPERLINK("https://legiscan.com/IL/bill/SB1822/2021","Signing history")</x:f>
        <x:v>HYPERLINK is not implemented. linkLocation=https://legiscan.com/IL/bill/SB1822/2021, friendlyName=Signing history</x:v>
      </x:c>
      <x:c r="T50" s="24" t="e">
        <x:f>HYPERLINK("https://files.illinoiscomptroller.gov/LocGovTIF/FY2024/09905530/24TIF09905530Joliet_Ciy_Center_1.pdf","TIF annual reporting")</x:f>
        <x:v>HYPERLINK is not implemented. linkLocation=https://files.illinoiscomptroller.gov/LocGovTIF/FY2024/09905530/24TIF09905530Joliet_Ciy_Center_1.pdf, friendlyName=TIF annual reporting</x:v>
      </x:c>
      <x:c r="U50" s="24" t="e">
        <x:f>HYPERLINK("https://illinoiscomptroller.gov/constituent-services/local-government/local-government-warehouse/landingpage?code=099%2F055%2F30","Municipal report index")</x:f>
        <x:v>HYPERLINK is not implemented. linkLocation=https://illinoiscomptroller.gov/constituent-services/local-government/local-government-warehouse/landingpage?code=099%2F055%2F30, friendlyName=Municipal report index</x:v>
      </x:c>
      <x:c r="V50" s="24" t="e">
        <x:f>HYPERLINK("https://files.illinoiscomptroller.gov/LocGovTIF/FY2024/09905530/24TIF09905530Joliet_Ciy_Center_1.pdf#page=3","Financial source")</x:f>
        <x:v>HYPERLINK is not implemented. linkLocation=https://files.illinoiscomptroller.gov/LocGovTIF/FY2024/09905530/24TIF09905530Joliet_Ciy_Center_1.pdf#page=3, friendlyName=Financial source</x:v>
      </x:c>
      <x:c r="W50" s="24" t="str">
        <x:v>Municipal TIF annual report, section 3.1, current-year Property Tax Increment. FY 2024</x:v>
      </x:c>
      <x:c r="X50" s="24" t="e">
        <x:f>HYPERLINK("https://www.ilga.gov/ftp/Public%20Acts/102/102-0627.htm","Name source")</x:f>
        <x:v>HYPERLINK is not implemented. linkLocation=https://www.ilga.gov/ftp/Public%20Acts/102/102-0627.htm, friendlyName=Name source</x:v>
      </x:c>
      <x:c r="Y50" s="1" t="n">
        <x:v>1</x:v>
      </x:c>
      <x:c r="Z50" s="1"/>
      <x:c r="AA50" s="1"/>
    </x:row>
    <x:row r="51" ht="54" customHeight="1">
      <x:c r="A51" s="12" t="n">
        <x:v>44</x:v>
      </x:c>
      <x:c r="B51" s="12" t="str">
        <x:v>SB 1822</x:v>
      </x:c>
      <x:c r="C51" s="12" t="str">
        <x:v>102-0627</x:v>
      </x:c>
      <x:c r="D51" s="17" t="d">
        <x:v>2021-08-27T00:00:00.000Z</x:v>
      </x:c>
      <x:c r="E51" s="18" t="str">
        <x:v>Chicago</x:v>
      </x:c>
      <x:c r="F51" s="13" t="str">
        <x:v>43rd/Cottage Grove TIF district</x:v>
      </x:c>
      <x:c r="G51" s="15" t="d">
        <x:v>1998-07-08T00:00:00.000Z</x:v>
      </x:c>
      <x:c r="H51" s="19" t="n">
        <x:v>23</x:v>
      </x:c>
      <x:c r="I51" s="19" t="n">
        <x:v>35</x:v>
      </x:c>
      <x:c r="J51" s="19" t="n">
        <x:v>12</x:v>
      </x:c>
      <x:c r="K51" s="19" t="str">
        <x:v>c(205)</x:v>
      </x:c>
      <x:c r="L51" s="12" t="str">
        <x:v>Tax year 2024</x:v>
      </x:c>
      <x:c r="M51" s="23" t="n">
        <x:v>8178184.1</x:v>
      </x:c>
      <x:c r="N51" s="22" t="n">
        <x:f>IF(ISNUMBER(M51),M51*J51,"")</x:f>
        <x:v>98138209.19999999</x:v>
      </x:c>
      <x:c r="O51" s="13" t="str">
        <x:v>Not determinable from extension law / TIF receipts alone</x:v>
      </x:c>
      <x:c r="P51" s="13" t="str"/>
      <x:c r="Q51" s="12" t="str"/>
      <x:c r="R51" s="24" t="e">
        <x:f>HYPERLINK("https://www.ilga.gov/ftp/Public%20Acts/102/102-0627.htm","Signed Public Act")</x:f>
        <x:v>HYPERLINK is not implemented. linkLocation=https://www.ilga.gov/ftp/Public%20Acts/102/102-0627.htm, friendlyName=Signed Public Act</x:v>
      </x:c>
      <x:c r="S51" s="24" t="e">
        <x:f>HYPERLINK("https://legiscan.com/IL/bill/SB1822/2021","Signing history")</x:f>
        <x:v>HYPERLINK is not implemented. linkLocation=https://legiscan.com/IL/bill/SB1822/2021, friendlyName=Signing history</x:v>
      </x:c>
      <x:c r="T51"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51"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51" s="24" t="e">
        <x:f>HYPERLINK("https://news.wttw.com/sites/default/files/article/file-attachments/2024-tif-report.pdf#page=39","Financial source")</x:f>
        <x:v>HYPERLINK is not implemented. linkLocation=https://news.wttw.com/sites/default/files/article/file-attachments/2024-tif-report.pdf#page=39, friendlyName=Financial source</x:v>
      </x:c>
      <x:c r="W51" s="24" t="str">
        <x:v>Cook County Clerk 2024 TIF report; 03-0210-507; Chicago - 43rd St / Cottage Grove; PDF page 39</x:v>
      </x:c>
      <x:c r="X51" s="24" t="e">
        <x:f>HYPERLINK("https://www.ilga.gov/ftp/Public%20Acts/102/102-0627.htm","Name source")</x:f>
        <x:v>HYPERLINK is not implemented. linkLocation=https://www.ilga.gov/ftp/Public%20Acts/102/102-0627.htm, friendlyName=Name source</x:v>
      </x:c>
      <x:c r="Y51" s="1" t="n">
        <x:v>1</x:v>
      </x:c>
      <x:c r="Z51" s="1"/>
      <x:c r="AA51" s="1"/>
    </x:row>
    <x:row r="52" ht="54" customHeight="1">
      <x:c r="A52" s="12" t="n">
        <x:v>45</x:v>
      </x:c>
      <x:c r="B52" s="12" t="str">
        <x:v>SB 1822</x:v>
      </x:c>
      <x:c r="C52" s="12" t="str">
        <x:v>102-0627</x:v>
      </x:c>
      <x:c r="D52" s="17" t="d">
        <x:v>2021-08-27T00:00:00.000Z</x:v>
      </x:c>
      <x:c r="E52" s="18" t="str">
        <x:v>Chicago</x:v>
      </x:c>
      <x:c r="F52" s="13" t="str">
        <x:v>79th Street Corridor TIF district</x:v>
      </x:c>
      <x:c r="G52" s="15" t="d">
        <x:v>1998-07-08T00:00:00.000Z</x:v>
      </x:c>
      <x:c r="H52" s="19" t="n">
        <x:v>23</x:v>
      </x:c>
      <x:c r="I52" s="19" t="n">
        <x:v>35</x:v>
      </x:c>
      <x:c r="J52" s="19" t="n">
        <x:v>12</x:v>
      </x:c>
      <x:c r="K52" s="19" t="str">
        <x:v>c(206)</x:v>
      </x:c>
      <x:c r="L52" s="12" t="str">
        <x:v>Tax year 2024</x:v>
      </x:c>
      <x:c r="M52" s="23" t="n">
        <x:v>2930797.66</x:v>
      </x:c>
      <x:c r="N52" s="22" t="n">
        <x:f>IF(ISNUMBER(M52),M52*J52,"")</x:f>
        <x:v>35169571.92</x:v>
      </x:c>
      <x:c r="O52" s="13" t="str">
        <x:v>Not determinable from extension law / TIF receipts alone</x:v>
      </x:c>
      <x:c r="P52" s="13" t="str"/>
      <x:c r="Q52" s="12" t="str"/>
      <x:c r="R52" s="24" t="e">
        <x:f>HYPERLINK("https://www.ilga.gov/ftp/Public%20Acts/102/102-0627.htm","Signed Public Act")</x:f>
        <x:v>HYPERLINK is not implemented. linkLocation=https://www.ilga.gov/ftp/Public%20Acts/102/102-0627.htm, friendlyName=Signed Public Act</x:v>
      </x:c>
      <x:c r="S52" s="24" t="e">
        <x:f>HYPERLINK("https://legiscan.com/IL/bill/SB1822/2021","Signing history")</x:f>
        <x:v>HYPERLINK is not implemented. linkLocation=https://legiscan.com/IL/bill/SB1822/2021, friendlyName=Signing history</x:v>
      </x:c>
      <x:c r="T52"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52"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52" s="24" t="e">
        <x:f>HYPERLINK("https://news.wttw.com/sites/default/files/article/file-attachments/2024-tif-report.pdf#page=39","Financial source")</x:f>
        <x:v>HYPERLINK is not implemented. linkLocation=https://news.wttw.com/sites/default/files/article/file-attachments/2024-tif-report.pdf#page=39, friendlyName=Financial source</x:v>
      </x:c>
      <x:c r="W52" s="24" t="str">
        <x:v>Cook County Clerk 2024 TIF report; 03-0210-517; Chicago - 79th St. Corridor; PDF page 39</x:v>
      </x:c>
      <x:c r="X52" s="24" t="e">
        <x:f>HYPERLINK("https://www.ilga.gov/ftp/Public%20Acts/102/102-0627.htm","Name source")</x:f>
        <x:v>HYPERLINK is not implemented. linkLocation=https://www.ilga.gov/ftp/Public%20Acts/102/102-0627.htm, friendlyName=Name source</x:v>
      </x:c>
      <x:c r="Y52" s="1" t="n">
        <x:v>1</x:v>
      </x:c>
      <x:c r="Z52" s="1"/>
      <x:c r="AA52" s="1"/>
    </x:row>
    <x:row r="53" ht="54" customHeight="1">
      <x:c r="A53" s="12" t="n">
        <x:v>46</x:v>
      </x:c>
      <x:c r="B53" s="12" t="str">
        <x:v>SB 1822</x:v>
      </x:c>
      <x:c r="C53" s="12" t="str">
        <x:v>102-0627</x:v>
      </x:c>
      <x:c r="D53" s="17" t="d">
        <x:v>2021-08-27T00:00:00.000Z</x:v>
      </x:c>
      <x:c r="E53" s="18" t="str">
        <x:v>Chicago</x:v>
      </x:c>
      <x:c r="F53" s="13" t="str">
        <x:v>Bronzeville TIF district</x:v>
      </x:c>
      <x:c r="G53" s="15" t="d">
        <x:v>1998-11-04T00:00:00.000Z</x:v>
      </x:c>
      <x:c r="H53" s="19" t="n">
        <x:v>23</x:v>
      </x:c>
      <x:c r="I53" s="19" t="n">
        <x:v>35</x:v>
      </x:c>
      <x:c r="J53" s="19" t="n">
        <x:v>12</x:v>
      </x:c>
      <x:c r="K53" s="19" t="str">
        <x:v>c(207)</x:v>
      </x:c>
      <x:c r="L53" s="12" t="str">
        <x:v>Tax year 2024</x:v>
      </x:c>
      <x:c r="M53" s="23" t="n">
        <x:v>13134737.76</x:v>
      </x:c>
      <x:c r="N53" s="22" t="n">
        <x:f>IF(ISNUMBER(M53),M53*J53,"")</x:f>
        <x:v>157616853.12</x:v>
      </x:c>
      <x:c r="O53" s="13" t="str">
        <x:v>Not determinable from extension law / TIF receipts alone</x:v>
      </x:c>
      <x:c r="P53" s="13" t="str"/>
      <x:c r="Q53" s="12" t="str"/>
      <x:c r="R53" s="24" t="e">
        <x:f>HYPERLINK("https://www.ilga.gov/ftp/Public%20Acts/102/102-0627.htm","Signed Public Act")</x:f>
        <x:v>HYPERLINK is not implemented. linkLocation=https://www.ilga.gov/ftp/Public%20Acts/102/102-0627.htm, friendlyName=Signed Public Act</x:v>
      </x:c>
      <x:c r="S53" s="24" t="e">
        <x:f>HYPERLINK("https://legiscan.com/IL/bill/SB1822/2021","Signing history")</x:f>
        <x:v>HYPERLINK is not implemented. linkLocation=https://legiscan.com/IL/bill/SB1822/2021, friendlyName=Signing history</x:v>
      </x:c>
      <x:c r="T53"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53"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53" s="24" t="e">
        <x:f>HYPERLINK("https://news.wttw.com/sites/default/files/article/file-attachments/2024-tif-report.pdf#page=39","Financial source")</x:f>
        <x:v>HYPERLINK is not implemented. linkLocation=https://news.wttw.com/sites/default/files/article/file-attachments/2024-tif-report.pdf#page=39, friendlyName=Financial source</x:v>
      </x:c>
      <x:c r="W53" s="24" t="str">
        <x:v>Cook County Clerk 2024 TIF report; 03-0210-529; Chicago - Bronzeville; PDF page 39</x:v>
      </x:c>
      <x:c r="X53" s="24" t="e">
        <x:f>HYPERLINK("https://www.ilga.gov/ftp/Public%20Acts/102/102-0627.htm","Name source")</x:f>
        <x:v>HYPERLINK is not implemented. linkLocation=https://www.ilga.gov/ftp/Public%20Acts/102/102-0627.htm, friendlyName=Name source</x:v>
      </x:c>
      <x:c r="Y53" s="1" t="n">
        <x:v>1</x:v>
      </x:c>
      <x:c r="Z53" s="1"/>
      <x:c r="AA53" s="1"/>
    </x:row>
    <x:row r="54" ht="54" customHeight="1">
      <x:c r="A54" s="12" t="n">
        <x:v>47</x:v>
      </x:c>
      <x:c r="B54" s="12" t="str">
        <x:v>SB 1822</x:v>
      </x:c>
      <x:c r="C54" s="12" t="str">
        <x:v>102-0627</x:v>
      </x:c>
      <x:c r="D54" s="17" t="d">
        <x:v>2021-08-27T00:00:00.000Z</x:v>
      </x:c>
      <x:c r="E54" s="18" t="str">
        <x:v>Chicago</x:v>
      </x:c>
      <x:c r="F54" s="13" t="str">
        <x:v>Homan/Arthington TIF district</x:v>
      </x:c>
      <x:c r="G54" s="15" t="d">
        <x:v>1998-02-05T00:00:00.000Z</x:v>
      </x:c>
      <x:c r="H54" s="19" t="n">
        <x:v>23</x:v>
      </x:c>
      <x:c r="I54" s="19" t="n">
        <x:v>35</x:v>
      </x:c>
      <x:c r="J54" s="19" t="n">
        <x:v>12</x:v>
      </x:c>
      <x:c r="K54" s="19" t="str">
        <x:v>c(208)</x:v>
      </x:c>
      <x:c r="L54" s="12" t="str">
        <x:v>Tax year 2024</x:v>
      </x:c>
      <x:c r="M54" s="23" t="n">
        <x:v>1437707</x:v>
      </x:c>
      <x:c r="N54" s="22" t="n">
        <x:f>IF(ISNUMBER(M54),M54*J54,"")</x:f>
        <x:v>17252484</x:v>
      </x:c>
      <x:c r="O54" s="13" t="str">
        <x:v>Not determinable from extension law / TIF receipts alone</x:v>
      </x:c>
      <x:c r="P54" s="13" t="str"/>
      <x:c r="Q54" s="12" t="str"/>
      <x:c r="R54" s="24" t="e">
        <x:f>HYPERLINK("https://www.ilga.gov/ftp/Public%20Acts/102/102-0627.htm","Signed Public Act")</x:f>
        <x:v>HYPERLINK is not implemented. linkLocation=https://www.ilga.gov/ftp/Public%20Acts/102/102-0627.htm, friendlyName=Signed Public Act</x:v>
      </x:c>
      <x:c r="S54" s="24" t="e">
        <x:f>HYPERLINK("https://legiscan.com/IL/bill/SB1822/2021","Signing history")</x:f>
        <x:v>HYPERLINK is not implemented. linkLocation=https://legiscan.com/IL/bill/SB1822/2021, friendlyName=Signing history</x:v>
      </x:c>
      <x:c r="T54"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54"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54" s="24" t="e">
        <x:f>HYPERLINK("https://news.wttw.com/sites/default/files/article/file-attachments/2024-tif-report.pdf#page=40","Financial source")</x:f>
        <x:v>HYPERLINK is not implemented. linkLocation=https://news.wttw.com/sites/default/files/article/file-attachments/2024-tif-report.pdf#page=40, friendlyName=Financial source</x:v>
      </x:c>
      <x:c r="W54" s="24" t="str">
        <x:v>Cook County Clerk 2024 TIF report; 03-0210-554; Chicago - Homan / Arthington; PDF page 40</x:v>
      </x:c>
      <x:c r="X54" s="24" t="e">
        <x:f>HYPERLINK("https://www.ilga.gov/ftp/Public%20Acts/102/102-0627.htm","Name source")</x:f>
        <x:v>HYPERLINK is not implemented. linkLocation=https://www.ilga.gov/ftp/Public%20Acts/102/102-0627.htm, friendlyName=Name source</x:v>
      </x:c>
      <x:c r="Y54" s="1" t="n">
        <x:v>1</x:v>
      </x:c>
      <x:c r="Z54" s="1"/>
      <x:c r="AA54" s="1"/>
    </x:row>
    <x:row r="55" ht="54" customHeight="1">
      <x:c r="A55" s="12" t="n">
        <x:v>48</x:v>
      </x:c>
      <x:c r="B55" s="12" t="str">
        <x:v>SB 1822</x:v>
      </x:c>
      <x:c r="C55" s="12" t="str">
        <x:v>102-0627</x:v>
      </x:c>
      <x:c r="D55" s="17" t="d">
        <x:v>2021-08-27T00:00:00.000Z</x:v>
      </x:c>
      <x:c r="E55" s="18" t="str">
        <x:v>Plainfield</x:v>
      </x:c>
      <x:c r="F55" s="13" t="str">
        <x:v>Downtown TIF</x:v>
      </x:c>
      <x:c r="G55" s="15" t="d">
        <x:v>1998-12-08T00:00:00.000Z</x:v>
      </x:c>
      <x:c r="H55" s="19" t="n">
        <x:v>23</x:v>
      </x:c>
      <x:c r="I55" s="19" t="n">
        <x:v>35</x:v>
      </x:c>
      <x:c r="J55" s="19" t="n">
        <x:v>12</x:v>
      </x:c>
      <x:c r="K55" s="19" t="str">
        <x:v>c(209)</x:v>
      </x:c>
      <x:c r="L55" s="12" t="str">
        <x:v>Fiscal year 2025</x:v>
      </x:c>
      <x:c r="M55" s="23" t="n">
        <x:v>887787</x:v>
      </x:c>
      <x:c r="N55" s="22" t="n">
        <x:f>IF(ISNUMBER(M55),M55*J55,"")</x:f>
        <x:v>10653444</x:v>
      </x:c>
      <x:c r="O55" s="13" t="str">
        <x:v>Not determinable from extension law / TIF receipts alone</x:v>
      </x:c>
      <x:c r="P55" s="13" t="str"/>
      <x:c r="Q55" s="12" t="str"/>
      <x:c r="R55" s="24" t="e">
        <x:f>HYPERLINK("https://www.ilga.gov/ftp/Public%20Acts/102/102-0627.htm","Signed Public Act")</x:f>
        <x:v>HYPERLINK is not implemented. linkLocation=https://www.ilga.gov/ftp/Public%20Acts/102/102-0627.htm, friendlyName=Signed Public Act</x:v>
      </x:c>
      <x:c r="S55" s="24" t="e">
        <x:f>HYPERLINK("https://legiscan.com/IL/bill/SB1822/2021","Signing history")</x:f>
        <x:v>HYPERLINK is not implemented. linkLocation=https://legiscan.com/IL/bill/SB1822/2021, friendlyName=Signing history</x:v>
      </x:c>
      <x:c r="T55" s="24" t="e">
        <x:f>HYPERLINK("https://files.illinoiscomptroller.gov/LocGovTIF/FY2025/09910032/25TIF09910032Downtown_TIF_1.pdf","TIF annual reporting")</x:f>
        <x:v>HYPERLINK is not implemented. linkLocation=https://files.illinoiscomptroller.gov/LocGovTIF/FY2025/09910032/25TIF09910032Downtown_TIF_1.pdf, friendlyName=TIF annual reporting</x:v>
      </x:c>
      <x:c r="U55" s="24" t="e">
        <x:f>HYPERLINK("https://illinoiscomptroller.gov/constituent-services/local-government/local-government-warehouse/landingpage?code=099%2F100%2F32","Municipal report index")</x:f>
        <x:v>HYPERLINK is not implemented. linkLocation=https://illinoiscomptroller.gov/constituent-services/local-government/local-government-warehouse/landingpage?code=099%2F100%2F32, friendlyName=Municipal report index</x:v>
      </x:c>
      <x:c r="V55" s="24" t="e">
        <x:f>HYPERLINK("https://files.illinoiscomptroller.gov/LocGovTIF/FY2025/09910032/25TIF09910032Downtown_TIF_1.pdf#page=3","Financial source")</x:f>
        <x:v>HYPERLINK is not implemented. linkLocation=https://files.illinoiscomptroller.gov/LocGovTIF/FY2025/09910032/25TIF09910032Downtown_TIF_1.pdf#page=3, friendlyName=Financial source</x:v>
      </x:c>
      <x:c r="W55" s="24" t="str">
        <x:v>Municipal TIF annual report, section 3.1, current-year Property Tax Increment. FY 2025</x:v>
      </x:c>
      <x:c r="X55" s="24" t="e">
        <x:f>HYPERLINK("https://files.illinoiscomptroller.gov/LocGovTIF/FY2025/09910032/25TIF09910032Downtown_TIF_1.pdf","Name source")</x:f>
        <x:v>HYPERLINK is not implemented. linkLocation=https://files.illinoiscomptroller.gov/LocGovTIF/FY2025/09910032/25TIF09910032Downtown_TIF_1.pdf, friendlyName=Name source</x:v>
      </x:c>
      <x:c r="Y55" s="1" t="n">
        <x:v>1</x:v>
      </x:c>
      <x:c r="Z55" s="1"/>
      <x:c r="AA55" s="1"/>
    </x:row>
    <x:row r="56" ht="54" customHeight="1">
      <x:c r="A56" s="12" t="n">
        <x:v>49</x:v>
      </x:c>
      <x:c r="B56" s="12" t="str">
        <x:v>SB 1822</x:v>
      </x:c>
      <x:c r="C56" s="12" t="str">
        <x:v>102-0627</x:v>
      </x:c>
      <x:c r="D56" s="17" t="d">
        <x:v>2021-08-27T00:00:00.000Z</x:v>
      </x:c>
      <x:c r="E56" s="18" t="str">
        <x:v>Beardstown</x:v>
      </x:c>
      <x:c r="F56" s="13" t="str">
        <x:v>TIF 1</x:v>
      </x:c>
      <x:c r="G56" s="15" t="d">
        <x:v>1986-12-23T00:00:00.000Z</x:v>
      </x:c>
      <x:c r="H56" s="19" t="n">
        <x:v>35</x:v>
      </x:c>
      <x:c r="I56" s="19" t="n">
        <x:v>47</x:v>
      </x:c>
      <x:c r="J56" s="19" t="n">
        <x:v>12</x:v>
      </x:c>
      <x:c r="K56" s="19" t="str">
        <x:v>f-5(4)</x:v>
      </x:c>
      <x:c r="L56" s="12" t="str">
        <x:v>Fiscal year 2025</x:v>
      </x:c>
      <x:c r="M56" s="23" t="n">
        <x:v>549697</x:v>
      </x:c>
      <x:c r="N56" s="22" t="n">
        <x:f>IF(ISNUMBER(M56),M56*J56,"")</x:f>
        <x:v>6596364</x:v>
      </x:c>
      <x:c r="O56" s="13" t="str">
        <x:v>Not determinable from extension law / TIF receipts alone</x:v>
      </x:c>
      <x:c r="P56" s="13" t="str"/>
      <x:c r="Q56" s="12" t="str"/>
      <x:c r="R56" s="24" t="e">
        <x:f>HYPERLINK("https://www.ilga.gov/ftp/Public%20Acts/102/102-0627.htm","Signed Public Act")</x:f>
        <x:v>HYPERLINK is not implemented. linkLocation=https://www.ilga.gov/ftp/Public%20Acts/102/102-0627.htm, friendlyName=Signed Public Act</x:v>
      </x:c>
      <x:c r="S56" s="24" t="e">
        <x:f>HYPERLINK("https://legiscan.com/IL/bill/SB1822/2021","Signing history")</x:f>
        <x:v>HYPERLINK is not implemented. linkLocation=https://legiscan.com/IL/bill/SB1822/2021, friendlyName=Signing history</x:v>
      </x:c>
      <x:c r="T56" s="24" t="e">
        <x:f>HYPERLINK("https://files.illinoiscomptroller.gov/LocGovTIF/FY2025/00902030/25TIF00902030TIF_1_1.pdf","TIF annual reporting")</x:f>
        <x:v>HYPERLINK is not implemented. linkLocation=https://files.illinoiscomptroller.gov/LocGovTIF/FY2025/00902030/25TIF00902030TIF_1_1.pdf, friendlyName=TIF annual reporting</x:v>
      </x:c>
      <x:c r="U56" s="24" t="e">
        <x:f>HYPERLINK("https://illinoiscomptroller.gov/constituent-services/local-government/local-government-warehouse/landingpage?code=009%2F020%2F30","Municipal report index")</x:f>
        <x:v>HYPERLINK is not implemented. linkLocation=https://illinoiscomptroller.gov/constituent-services/local-government/local-government-warehouse/landingpage?code=009%2F020%2F30, friendlyName=Municipal report index</x:v>
      </x:c>
      <x:c r="V56" s="24" t="e">
        <x:f>HYPERLINK("https://files.illinoiscomptroller.gov/LocGovTIF/FY2025/00902030/25TIF00902030TIF_1_1.pdf#page=3","Financial source")</x:f>
        <x:v>HYPERLINK is not implemented. linkLocation=https://files.illinoiscomptroller.gov/LocGovTIF/FY2025/00902030/25TIF00902030TIF_1_1.pdf#page=3, friendlyName=Financial source</x:v>
      </x:c>
      <x:c r="W56" s="24" t="str">
        <x:v>Municipal TIF annual report, section 3.1, current-year Property Tax Increment. FY 2025</x:v>
      </x:c>
      <x:c r="X56" s="24" t="e">
        <x:f>HYPERLINK("https://files.illinoiscomptroller.gov/LocGovTIF/FY2025/00902030/25TIF00902030TIF_1_1.pdf","Name source")</x:f>
        <x:v>HYPERLINK is not implemented. linkLocation=https://files.illinoiscomptroller.gov/LocGovTIF/FY2025/00902030/25TIF00902030TIF_1_1.pdf, friendlyName=Name source</x:v>
      </x:c>
      <x:c r="Y56" s="1" t="n">
        <x:v>1</x:v>
      </x:c>
      <x:c r="Z56" s="1"/>
      <x:c r="AA56" s="1"/>
    </x:row>
    <x:row r="57" ht="54" customHeight="1">
      <x:c r="A57" s="12" t="n">
        <x:v>50</x:v>
      </x:c>
      <x:c r="B57" s="12" t="str">
        <x:v>SB 1822</x:v>
      </x:c>
      <x:c r="C57" s="12" t="str">
        <x:v>102-0627</x:v>
      </x:c>
      <x:c r="D57" s="17" t="d">
        <x:v>2021-08-27T00:00:00.000Z</x:v>
      </x:c>
      <x:c r="E57" s="18" t="str">
        <x:v>Cicero</x:v>
      </x:c>
      <x:c r="F57" s="13" t="str">
        <x:v>Cermak/Cicero TIF 1</x:v>
      </x:c>
      <x:c r="G57" s="15" t="d">
        <x:v>1986-12-23T00:00:00.000Z</x:v>
      </x:c>
      <x:c r="H57" s="19" t="n">
        <x:v>35</x:v>
      </x:c>
      <x:c r="I57" s="19" t="n">
        <x:v>47</x:v>
      </x:c>
      <x:c r="J57" s="19" t="n">
        <x:v>12</x:v>
      </x:c>
      <x:c r="K57" s="19" t="str">
        <x:v>f-5(5)</x:v>
      </x:c>
      <x:c r="L57" s="12" t="str">
        <x:v>Tax year 2024</x:v>
      </x:c>
      <x:c r="M57" s="23" t="n">
        <x:v>20220331.31</x:v>
      </x:c>
      <x:c r="N57" s="22" t="n">
        <x:f>IF(ISNUMBER(M57),M57*J57,"")</x:f>
        <x:v>242643975.71999997</x:v>
      </x:c>
      <x:c r="O57" s="13" t="str">
        <x:v>Not determinable from extension law / TIF receipts alone</x:v>
      </x:c>
      <x:c r="P57" s="13" t="str"/>
      <x:c r="Q57" s="12" t="str"/>
      <x:c r="R57" s="24" t="e">
        <x:f>HYPERLINK("https://www.ilga.gov/ftp/Public%20Acts/102/102-0627.htm","Signed Public Act")</x:f>
        <x:v>HYPERLINK is not implemented. linkLocation=https://www.ilga.gov/ftp/Public%20Acts/102/102-0627.htm, friendlyName=Signed Public Act</x:v>
      </x:c>
      <x:c r="S57" s="24" t="e">
        <x:f>HYPERLINK("https://legiscan.com/IL/bill/SB1822/2021","Signing history")</x:f>
        <x:v>HYPERLINK is not implemented. linkLocation=https://legiscan.com/IL/bill/SB1822/2021, friendlyName=Signing history</x:v>
      </x:c>
      <x:c r="T57" s="24" t="e">
        <x:f>HYPERLINK("https://illinoiscomptroller.gov/constituent-services/local-government/local-government-warehouse/landingpage?code=016%2F115%2F31","TIF annual reporting")</x:f>
        <x:v>HYPERLINK is not implemented. linkLocation=https://illinoiscomptroller.gov/constituent-services/local-government/local-government-warehouse/landingpage?code=016%2F115%2F31, friendlyName=TIF annual reporting</x:v>
      </x:c>
      <x:c r="U57" s="24" t="e">
        <x:f>HYPERLINK("https://illinoiscomptroller.gov/constituent-services/local-government/local-government-warehouse/landingpage?code=016%2F115%2F31","Municipal report index")</x:f>
        <x:v>HYPERLINK is not implemented. linkLocation=https://illinoiscomptroller.gov/constituent-services/local-government/local-government-warehouse/landingpage?code=016%2F115%2F31, friendlyName=Municipal report index</x:v>
      </x:c>
      <x:c r="V57" s="24" t="e">
        <x:f>HYPERLINK("https://news.wttw.com/sites/default/files/article/file-attachments/2024-tif-report.pdf#page=45","Financial source")</x:f>
        <x:v>HYPERLINK is not implemented. linkLocation=https://news.wttw.com/sites/default/files/article/file-attachments/2024-tif-report.pdf#page=45, friendlyName=Financial source</x:v>
      </x:c>
      <x:c r="W57" s="24" t="str">
        <x:v>Cook County Clerk 2024 TIF report; 02-0060-500; Cicero TIF; PDF page 45</x:v>
      </x:c>
      <x:c r="X57" s="24" t="e">
        <x:f>HYPERLINK("https://www.ilga.gov/ftp/Public%20Acts/102/102-0627.htm","Name source")</x:f>
        <x:v>HYPERLINK is not implemented. linkLocation=https://www.ilga.gov/ftp/Public%20Acts/102/102-0627.htm, friendlyName=Name source</x:v>
      </x:c>
      <x:c r="Y57" s="1" t="n">
        <x:v>1</x:v>
      </x:c>
      <x:c r="Z57" s="1"/>
      <x:c r="AA57" s="1"/>
    </x:row>
    <x:row r="58" ht="54" customHeight="1">
      <x:c r="A58" s="12" t="n">
        <x:v>51</x:v>
      </x:c>
      <x:c r="B58" s="12" t="str">
        <x:v>SB 1822</x:v>
      </x:c>
      <x:c r="C58" s="12" t="str">
        <x:v>102-0627</x:v>
      </x:c>
      <x:c r="D58" s="17" t="d">
        <x:v>2021-08-27T00:00:00.000Z</x:v>
      </x:c>
      <x:c r="E58" s="18" t="str">
        <x:v>East St. Louis</x:v>
      </x:c>
      <x:c r="F58" s="13" t="str">
        <x:v>TIF district established December 29, 1986 (name unconfirmed)</x:v>
      </x:c>
      <x:c r="G58" s="15" t="d">
        <x:v>1986-12-29T00:00:00.000Z</x:v>
      </x:c>
      <x:c r="H58" s="19" t="n">
        <x:v>35</x:v>
      </x:c>
      <x:c r="I58" s="19" t="n">
        <x:v>47</x:v>
      </x:c>
      <x:c r="J58" s="19" t="n">
        <x:v>12</x:v>
      </x:c>
      <x:c r="K58" s="19" t="str">
        <x:v>f-5(6)</x:v>
      </x:c>
      <x:c r="L58" s="12" t="str"/>
      <x:c r="M58" s="23"/>
      <x:c r="N58" s="22" t="str">
        <x:f>IF(ISNUMBER(M58),M58*J58,"")</x:f>
      </x:c>
      <x:c r="O58" s="13" t="str">
        <x:v>Not determinable from extension law / TIF receipts alone</x:v>
      </x:c>
      <x:c r="P58" s="25" t="str">
        <x:v>District name not specified in act; matching report not retrieved.</x:v>
      </x:c>
      <x:c r="Q58" s="12" t="str"/>
      <x:c r="R58" s="24" t="e">
        <x:f>HYPERLINK("https://www.ilga.gov/ftp/Public%20Acts/102/102-0627.htm","Signed Public Act")</x:f>
        <x:v>HYPERLINK is not implemented. linkLocation=https://www.ilga.gov/ftp/Public%20Acts/102/102-0627.htm, friendlyName=Signed Public Act</x:v>
      </x:c>
      <x:c r="S58" s="24" t="e">
        <x:f>HYPERLINK("https://legiscan.com/IL/bill/SB1822/2021","Signing history")</x:f>
        <x:v>HYPERLINK is not implemented. linkLocation=https://legiscan.com/IL/bill/SB1822/2021, friendlyName=Signing history</x:v>
      </x:c>
      <x:c r="T58" s="24" t="e">
        <x:f>HYPERLINK("https://illinoiscomptroller.gov/constituent-services/local-government/local-government-warehouse/landingpage?code=088%2F050%2F30","TIF annual reporting")</x:f>
        <x:v>HYPERLINK is not implemented. linkLocation=https://illinoiscomptroller.gov/constituent-services/local-government/local-government-warehouse/landingpage?code=088%2F050%2F30, friendlyName=TIF annual reporting</x:v>
      </x:c>
      <x:c r="U58" s="24" t="e">
        <x:f>HYPERLINK("https://illinoiscomptroller.gov/constituent-services/local-government/local-government-warehouse/landingpage?code=088%2F050%2F30","Municipal report index")</x:f>
        <x:v>HYPERLINK is not implemented. linkLocation=https://illinoiscomptroller.gov/constituent-services/local-government/local-government-warehouse/landingpage?code=088%2F050%2F30, friendlyName=Municipal report index</x:v>
      </x:c>
      <x:c r="V58" s="24" t="str">
        <x:f>""</x:f>
      </x:c>
      <x:c r="W58" s="24" t="str">
        <x:v>Not estimated: matching annual property-tax increment not verified. Blank is not zero.</x:v>
      </x:c>
      <x:c r="X58" s="24" t="e">
        <x:f>HYPERLINK("https://www.ilga.gov/ftp/Public%20Acts/102/102-0627.htm","Name source")</x:f>
        <x:v>HYPERLINK is not implemented. linkLocation=https://www.ilga.gov/ftp/Public%20Acts/102/102-0627.htm, friendlyName=Name source</x:v>
      </x:c>
      <x:c r="Y58" s="1" t="n">
        <x:v>0</x:v>
      </x:c>
      <x:c r="Z58" s="1"/>
      <x:c r="AA58" s="1"/>
    </x:row>
    <x:row r="59" ht="54" customHeight="1">
      <x:c r="A59" s="12" t="n">
        <x:v>52</x:v>
      </x:c>
      <x:c r="B59" s="12" t="str">
        <x:v>SB 1822</x:v>
      </x:c>
      <x:c r="C59" s="12" t="str">
        <x:v>102-0627</x:v>
      </x:c>
      <x:c r="D59" s="17" t="d">
        <x:v>2021-08-27T00:00:00.000Z</x:v>
      </x:c>
      <x:c r="E59" s="18" t="str">
        <x:v>East St. Louis</x:v>
      </x:c>
      <x:c r="F59" s="13" t="str">
        <x:v>TIF district established January 23, 1991 (name unconfirmed)</x:v>
      </x:c>
      <x:c r="G59" s="15" t="d">
        <x:v>1991-01-23T00:00:00.000Z</x:v>
      </x:c>
      <x:c r="H59" s="19" t="n">
        <x:v>35</x:v>
      </x:c>
      <x:c r="I59" s="19" t="n">
        <x:v>47</x:v>
      </x:c>
      <x:c r="J59" s="19" t="n">
        <x:v>12</x:v>
      </x:c>
      <x:c r="K59" s="19" t="str">
        <x:v>f-5(7)</x:v>
      </x:c>
      <x:c r="L59" s="12" t="str"/>
      <x:c r="M59" s="23"/>
      <x:c r="N59" s="22" t="str">
        <x:f>IF(ISNUMBER(M59),M59*J59,"")</x:f>
      </x:c>
      <x:c r="O59" s="13" t="str">
        <x:v>Not determinable from extension law / TIF receipts alone</x:v>
      </x:c>
      <x:c r="P59" s="25" t="str">
        <x:v>District name not specified in act; matching report not retrieved.</x:v>
      </x:c>
      <x:c r="Q59" s="12" t="str"/>
      <x:c r="R59" s="24" t="e">
        <x:f>HYPERLINK("https://www.ilga.gov/ftp/Public%20Acts/102/102-0627.htm","Signed Public Act")</x:f>
        <x:v>HYPERLINK is not implemented. linkLocation=https://www.ilga.gov/ftp/Public%20Acts/102/102-0627.htm, friendlyName=Signed Public Act</x:v>
      </x:c>
      <x:c r="S59" s="24" t="e">
        <x:f>HYPERLINK("https://legiscan.com/IL/bill/SB1822/2021","Signing history")</x:f>
        <x:v>HYPERLINK is not implemented. linkLocation=https://legiscan.com/IL/bill/SB1822/2021, friendlyName=Signing history</x:v>
      </x:c>
      <x:c r="T59" s="24" t="e">
        <x:f>HYPERLINK("https://illinoiscomptroller.gov/constituent-services/local-government/local-government-warehouse/landingpage?code=088%2F050%2F30","TIF annual reporting")</x:f>
        <x:v>HYPERLINK is not implemented. linkLocation=https://illinoiscomptroller.gov/constituent-services/local-government/local-government-warehouse/landingpage?code=088%2F050%2F30, friendlyName=TIF annual reporting</x:v>
      </x:c>
      <x:c r="U59" s="24" t="e">
        <x:f>HYPERLINK("https://illinoiscomptroller.gov/constituent-services/local-government/local-government-warehouse/landingpage?code=088%2F050%2F30","Municipal report index")</x:f>
        <x:v>HYPERLINK is not implemented. linkLocation=https://illinoiscomptroller.gov/constituent-services/local-government/local-government-warehouse/landingpage?code=088%2F050%2F30, friendlyName=Municipal report index</x:v>
      </x:c>
      <x:c r="V59" s="24" t="str">
        <x:f>""</x:f>
      </x:c>
      <x:c r="W59" s="24" t="str">
        <x:v>Not estimated: matching annual property-tax increment not verified. Blank is not zero.</x:v>
      </x:c>
      <x:c r="X59" s="24" t="e">
        <x:f>HYPERLINK("https://www.ilga.gov/ftp/Public%20Acts/102/102-0627.htm","Name source")</x:f>
        <x:v>HYPERLINK is not implemented. linkLocation=https://www.ilga.gov/ftp/Public%20Acts/102/102-0627.htm, friendlyName=Name source</x:v>
      </x:c>
      <x:c r="Y59" s="1" t="n">
        <x:v>0</x:v>
      </x:c>
      <x:c r="Z59" s="1"/>
      <x:c r="AA59" s="1"/>
    </x:row>
    <x:row r="60" ht="54" customHeight="1">
      <x:c r="A60" s="12" t="n">
        <x:v>53</x:v>
      </x:c>
      <x:c r="B60" s="12" t="str">
        <x:v>SB 1822</x:v>
      </x:c>
      <x:c r="C60" s="12" t="str">
        <x:v>102-0627</x:v>
      </x:c>
      <x:c r="D60" s="17" t="d">
        <x:v>2021-08-27T00:00:00.000Z</x:v>
      </x:c>
      <x:c r="E60" s="18" t="str">
        <x:v>Gardner</x:v>
      </x:c>
      <x:c r="F60" s="13" t="str">
        <x:v>TIF 1</x:v>
      </x:c>
      <x:c r="G60" s="15" t="d">
        <x:v>1986-12-29T00:00:00.000Z</x:v>
      </x:c>
      <x:c r="H60" s="19" t="n">
        <x:v>35</x:v>
      </x:c>
      <x:c r="I60" s="19" t="n">
        <x:v>47</x:v>
      </x:c>
      <x:c r="J60" s="19" t="n">
        <x:v>12</x:v>
      </x:c>
      <x:c r="K60" s="19" t="str">
        <x:v>f-5(8)</x:v>
      </x:c>
      <x:c r="L60" s="12" t="str">
        <x:v>Fiscal year 2026</x:v>
      </x:c>
      <x:c r="M60" s="23" t="n">
        <x:v>1726098</x:v>
      </x:c>
      <x:c r="N60" s="22" t="n">
        <x:f>IF(ISNUMBER(M60),M60*J60,"")</x:f>
        <x:v>20713176</x:v>
      </x:c>
      <x:c r="O60" s="13" t="str">
        <x:v>Not determinable from extension law / TIF receipts alone</x:v>
      </x:c>
      <x:c r="P60" s="25" t="str">
        <x:v>Act date Dec. 29, 1986; annual report states Dec. 17, 1986. Financial match is provisional because of the date discrepancy.</x:v>
      </x:c>
      <x:c r="Q60" s="12" t="str"/>
      <x:c r="R60" s="24" t="e">
        <x:f>HYPERLINK("https://www.ilga.gov/ftp/Public%20Acts/102/102-0627.htm","Signed Public Act")</x:f>
        <x:v>HYPERLINK is not implemented. linkLocation=https://www.ilga.gov/ftp/Public%20Acts/102/102-0627.htm, friendlyName=Signed Public Act</x:v>
      </x:c>
      <x:c r="S60" s="24" t="e">
        <x:f>HYPERLINK("https://legiscan.com/IL/bill/SB1822/2021","Signing history")</x:f>
        <x:v>HYPERLINK is not implemented. linkLocation=https://legiscan.com/IL/bill/SB1822/2021, friendlyName=Signing history</x:v>
      </x:c>
      <x:c r="T60" s="24" t="e">
        <x:f>HYPERLINK("https://files.illinoiscomptroller.gov/LocGovTIF/FY2026/03204532/26TIF03204532TIF_1_1.pdf","TIF annual reporting")</x:f>
        <x:v>HYPERLINK is not implemented. linkLocation=https://files.illinoiscomptroller.gov/LocGovTIF/FY2026/03204532/26TIF03204532TIF_1_1.pdf, friendlyName=TIF annual reporting</x:v>
      </x:c>
      <x:c r="U60" s="24" t="e">
        <x:f>HYPERLINK("https://illinoiscomptroller.gov/constituent-services/local-government/local-government-warehouse/landingpage?code=032%2F045%2F32","Municipal report index")</x:f>
        <x:v>HYPERLINK is not implemented. linkLocation=https://illinoiscomptroller.gov/constituent-services/local-government/local-government-warehouse/landingpage?code=032%2F045%2F32, friendlyName=Municipal report index</x:v>
      </x:c>
      <x:c r="V60" s="24" t="e">
        <x:f>HYPERLINK("https://files.illinoiscomptroller.gov/LocGovTIF/FY2026/03204532/26TIF03204532TIF_1_1.pdf#page=3","Financial source")</x:f>
        <x:v>HYPERLINK is not implemented. linkLocation=https://files.illinoiscomptroller.gov/LocGovTIF/FY2026/03204532/26TIF03204532TIF_1_1.pdf#page=3, friendlyName=Financial source</x:v>
      </x:c>
      <x:c r="W60" s="24" t="str">
        <x:v>Municipal TIF annual report, section 3.1, current-year Property Tax Increment. FY 2026</x:v>
      </x:c>
      <x:c r="X60" s="24" t="e">
        <x:f>HYPERLINK("https://files.illinoiscomptroller.gov/LocGovTIF/FY2026/03204532/26TIF03204532TIF_1_1.pdf","Name source")</x:f>
        <x:v>HYPERLINK is not implemented. linkLocation=https://files.illinoiscomptroller.gov/LocGovTIF/FY2026/03204532/26TIF03204532TIF_1_1.pdf, friendlyName=Name source</x:v>
      </x:c>
      <x:c r="Y60" s="1" t="n">
        <x:v>1</x:v>
      </x:c>
      <x:c r="Z60" s="1"/>
      <x:c r="AA60" s="1"/>
    </x:row>
    <x:row r="61" ht="54" customHeight="1">
      <x:c r="A61" s="12" t="n">
        <x:v>54</x:v>
      </x:c>
      <x:c r="B61" s="12" t="str">
        <x:v>SB 1822</x:v>
      </x:c>
      <x:c r="C61" s="12" t="str">
        <x:v>102-0627</x:v>
      </x:c>
      <x:c r="D61" s="17" t="d">
        <x:v>2021-08-27T00:00:00.000Z</x:v>
      </x:c>
      <x:c r="E61" s="18" t="str">
        <x:v>East Peoria</x:v>
      </x:c>
      <x:c r="F61" s="13" t="str">
        <x:v>West Washington Street TIF</x:v>
      </x:c>
      <x:c r="G61" s="15" t="d">
        <x:v>2002-06-11T00:00:00.000Z</x:v>
      </x:c>
      <x:c r="H61" s="19" t="n">
        <x:v>35</x:v>
      </x:c>
      <x:c r="I61" s="19" t="n">
        <x:v>47</x:v>
      </x:c>
      <x:c r="J61" s="19" t="n">
        <x:v>12</x:v>
      </x:c>
      <x:c r="K61" s="19" t="str">
        <x:v>f-5(9)</x:v>
      </x:c>
      <x:c r="L61" s="12" t="str"/>
      <x:c r="M61" s="23"/>
      <x:c r="N61" s="22" t="str">
        <x:f>IF(ISNUMBER(M61),M61*J61,"")</x:f>
      </x:c>
      <x:c r="O61" s="13" t="str">
        <x:v>Not determinable from extension law / TIF receipts alone</x:v>
      </x:c>
      <x:c r="P61" s="25" t="str"/>
      <x:c r="Q61" s="12" t="str"/>
      <x:c r="R61" s="24" t="e">
        <x:f>HYPERLINK("https://www.ilga.gov/ftp/Public%20Acts/102/102-0627.htm","Signed Public Act")</x:f>
        <x:v>HYPERLINK is not implemented. linkLocation=https://www.ilga.gov/ftp/Public%20Acts/102/102-0627.htm, friendlyName=Signed Public Act</x:v>
      </x:c>
      <x:c r="S61" s="24" t="e">
        <x:f>HYPERLINK("https://legiscan.com/IL/bill/SB1822/2021","Signing history")</x:f>
        <x:v>HYPERLINK is not implemented. linkLocation=https://legiscan.com/IL/bill/SB1822/2021, friendlyName=Signing history</x:v>
      </x:c>
      <x:c r="T61" s="24" t="e">
        <x:f>HYPERLINK("https://illinoiscomptroller.gov/constituent-services/local-government/local-government-warehouse/landingpage?code=090%2F030%2F30","TIF annual reporting")</x:f>
        <x:v>HYPERLINK is not implemented. linkLocation=https://illinoiscomptroller.gov/constituent-services/local-government/local-government-warehouse/landingpage?code=090%2F030%2F30, friendlyName=TIF annual reporting</x:v>
      </x:c>
      <x:c r="U61" s="24" t="e">
        <x:f>HYPERLINK("https://illinoiscomptroller.gov/constituent-services/local-government/local-government-warehouse/landingpage?code=090%2F030%2F30","Municipal report index")</x:f>
        <x:v>HYPERLINK is not implemented. linkLocation=https://illinoiscomptroller.gov/constituent-services/local-government/local-government-warehouse/landingpage?code=090%2F030%2F30, friendlyName=Municipal report index</x:v>
      </x:c>
      <x:c r="V61" s="24" t="str">
        <x:f>""</x:f>
      </x:c>
      <x:c r="W61" s="24" t="str">
        <x:v>Not estimated: matching annual property-tax increment not verified. Blank is not zero.</x:v>
      </x:c>
      <x:c r="X61" s="24" t="e">
        <x:f>HYPERLINK("https://www.ilga.gov/ftp/Public%20Acts/102/102-0627.htm","Name source")</x:f>
        <x:v>HYPERLINK is not implemented. linkLocation=https://www.ilga.gov/ftp/Public%20Acts/102/102-0627.htm, friendlyName=Name source</x:v>
      </x:c>
      <x:c r="Y61" s="1" t="n">
        <x:v>0</x:v>
      </x:c>
      <x:c r="Z61" s="1"/>
      <x:c r="AA61" s="1"/>
    </x:row>
    <x:row r="62" ht="54" customHeight="1">
      <x:c r="A62" s="12" t="n">
        <x:v>55</x:v>
      </x:c>
      <x:c r="B62" s="12" t="str">
        <x:v>SB 1139</x:v>
      </x:c>
      <x:c r="C62" s="12" t="str">
        <x:v>102-0675</x:v>
      </x:c>
      <x:c r="D62" s="17" t="d">
        <x:v>2021-11-30T00:00:00.000Z</x:v>
      </x:c>
      <x:c r="E62" s="18" t="str">
        <x:v>Homer</x:v>
      </x:c>
      <x:c r="F62" s="13" t="str">
        <x:v>RPA</x:v>
      </x:c>
      <x:c r="G62" s="15" t="d">
        <x:v>2000-07-17T00:00:00.000Z</x:v>
      </x:c>
      <x:c r="H62" s="19" t="n">
        <x:v>23</x:v>
      </x:c>
      <x:c r="I62" s="19" t="n">
        <x:v>35</x:v>
      </x:c>
      <x:c r="J62" s="19" t="n">
        <x:v>12</x:v>
      </x:c>
      <x:c r="K62" s="19" t="str">
        <x:v>c(214)</x:v>
      </x:c>
      <x:c r="L62" s="12" t="str">
        <x:v>Fiscal year 2025</x:v>
      </x:c>
      <x:c r="M62" s="23" t="n">
        <x:v>309020</x:v>
      </x:c>
      <x:c r="N62" s="22" t="n">
        <x:f>IF(ISNUMBER(M62),M62*J62,"")</x:f>
        <x:v>3708240</x:v>
      </x:c>
      <x:c r="O62" s="13" t="str">
        <x:v>Not determinable from extension law / TIF receipts alone</x:v>
      </x:c>
      <x:c r="P62" s="13" t="str"/>
      <x:c r="Q62" s="12" t="str"/>
      <x:c r="R62" s="24" t="e">
        <x:f>HYPERLINK("https://www.ilga.gov/ftp/Public%20Acts/102/102-0675.htm","Signed Public Act")</x:f>
        <x:v>HYPERLINK is not implemented. linkLocation=https://www.ilga.gov/ftp/Public%20Acts/102/102-0675.htm, friendlyName=Signed Public Act</x:v>
      </x:c>
      <x:c r="S62" s="24" t="e">
        <x:f>HYPERLINK("https://legiscan.com/IL/bill/SB1139/2021","Signing history")</x:f>
        <x:v>HYPERLINK is not implemented. linkLocation=https://legiscan.com/IL/bill/SB1139/2021, friendlyName=Signing history</x:v>
      </x:c>
      <x:c r="T62" s="24" t="e">
        <x:f>HYPERLINK("https://files.illinoiscomptroller.gov/LocGovTIF/FY2025/01004032/25TIF01004032RPA__1.pdf","TIF annual reporting")</x:f>
        <x:v>HYPERLINK is not implemented. linkLocation=https://files.illinoiscomptroller.gov/LocGovTIF/FY2025/01004032/25TIF01004032RPA__1.pdf, friendlyName=TIF annual reporting</x:v>
      </x:c>
      <x:c r="U62" s="24" t="e">
        <x:f>HYPERLINK("https://illinoiscomptroller.gov/constituent-services/local-government/local-government-warehouse/landingpage?code=010%2F040%2F32","Municipal report index")</x:f>
        <x:v>HYPERLINK is not implemented. linkLocation=https://illinoiscomptroller.gov/constituent-services/local-government/local-government-warehouse/landingpage?code=010%2F040%2F32, friendlyName=Municipal report index</x:v>
      </x:c>
      <x:c r="V62" s="24" t="e">
        <x:f>HYPERLINK("https://files.illinoiscomptroller.gov/LocGovTIF/FY2025/01004032/25TIF01004032RPA__1.pdf#page=3","Financial source")</x:f>
        <x:v>HYPERLINK is not implemented. linkLocation=https://files.illinoiscomptroller.gov/LocGovTIF/FY2025/01004032/25TIF01004032RPA__1.pdf#page=3, friendlyName=Financial source</x:v>
      </x:c>
      <x:c r="W62" s="24" t="str">
        <x:v>Municipal TIF annual report, section 3.1, current-year Property Tax Increment. FY 2025</x:v>
      </x:c>
      <x:c r="X62" s="24" t="e">
        <x:f>HYPERLINK("https://files.illinoiscomptroller.gov/LocGovTIF/FY2025/01004032/25TIF01004032RPA__1.pdf","Name source")</x:f>
        <x:v>HYPERLINK is not implemented. linkLocation=https://files.illinoiscomptroller.gov/LocGovTIF/FY2025/01004032/25TIF01004032RPA__1.pdf, friendlyName=Name source</x:v>
      </x:c>
      <x:c r="Y62" s="1" t="n">
        <x:v>1</x:v>
      </x:c>
      <x:c r="Z62" s="1"/>
      <x:c r="AA62" s="1"/>
    </x:row>
    <x:row r="63" ht="54" customHeight="1">
      <x:c r="A63" s="12" t="n">
        <x:v>56</x:v>
      </x:c>
      <x:c r="B63" s="12" t="str">
        <x:v>SB 1139</x:v>
      </x:c>
      <x:c r="C63" s="12" t="str">
        <x:v>102-0675</x:v>
      </x:c>
      <x:c r="D63" s="17" t="d">
        <x:v>2021-11-30T00:00:00.000Z</x:v>
      </x:c>
      <x:c r="E63" s="18" t="str">
        <x:v>Greenville</x:v>
      </x:c>
      <x:c r="F63" s="13" t="str">
        <x:v>Downtown/Central</x:v>
      </x:c>
      <x:c r="G63" s="15" t="d">
        <x:v>2006-12-27T00:00:00.000Z</x:v>
      </x:c>
      <x:c r="H63" s="19" t="n">
        <x:v>23</x:v>
      </x:c>
      <x:c r="I63" s="19" t="n">
        <x:v>35</x:v>
      </x:c>
      <x:c r="J63" s="19" t="n">
        <x:v>12</x:v>
      </x:c>
      <x:c r="K63" s="19" t="str">
        <x:v>c(215)</x:v>
      </x:c>
      <x:c r="L63" s="12" t="str">
        <x:v>Fiscal year 2025</x:v>
      </x:c>
      <x:c r="M63" s="23" t="n">
        <x:v>263616</x:v>
      </x:c>
      <x:c r="N63" s="22" t="n">
        <x:f>IF(ISNUMBER(M63),M63*J63,"")</x:f>
        <x:v>3163392</x:v>
      </x:c>
      <x:c r="O63" s="13" t="str">
        <x:v>Not determinable from extension law / TIF receipts alone</x:v>
      </x:c>
      <x:c r="P63" s="13" t="str"/>
      <x:c r="Q63" s="12" t="str"/>
      <x:c r="R63" s="24" t="e">
        <x:f>HYPERLINK("https://www.ilga.gov/ftp/Public%20Acts/102/102-0675.htm","Signed Public Act")</x:f>
        <x:v>HYPERLINK is not implemented. linkLocation=https://www.ilga.gov/ftp/Public%20Acts/102/102-0675.htm, friendlyName=Signed Public Act</x:v>
      </x:c>
      <x:c r="S63" s="24" t="e">
        <x:f>HYPERLINK("https://legiscan.com/IL/bill/SB1139/2021","Signing history")</x:f>
        <x:v>HYPERLINK is not implemented. linkLocation=https://legiscan.com/IL/bill/SB1139/2021, friendlyName=Signing history</x:v>
      </x:c>
      <x:c r="T63" s="24" t="e">
        <x:f>HYPERLINK("https://files.illinoiscomptroller.gov/LocGovTIF/FY2025/00301030/25TIF00301030Downtown_Central_1.pdf","TIF annual reporting")</x:f>
        <x:v>HYPERLINK is not implemented. linkLocation=https://files.illinoiscomptroller.gov/LocGovTIF/FY2025/00301030/25TIF00301030Downtown_Central_1.pdf, friendlyName=TIF annual reporting</x:v>
      </x:c>
      <x:c r="U63" s="24" t="e">
        <x:f>HYPERLINK("https://illinoiscomptroller.gov/constituent-services/local-government/local-government-warehouse/landingpage?code=003%2F010%2F30","Municipal report index")</x:f>
        <x:v>HYPERLINK is not implemented. linkLocation=https://illinoiscomptroller.gov/constituent-services/local-government/local-government-warehouse/landingpage?code=003%2F010%2F30, friendlyName=Municipal report index</x:v>
      </x:c>
      <x:c r="V63" s="24" t="e">
        <x:f>HYPERLINK("https://files.illinoiscomptroller.gov/LocGovTIF/FY2025/00301030/25TIF00301030Downtown_Central_1.pdf#page=3","Financial source")</x:f>
        <x:v>HYPERLINK is not implemented. linkLocation=https://files.illinoiscomptroller.gov/LocGovTIF/FY2025/00301030/25TIF00301030Downtown_Central_1.pdf#page=3, friendlyName=Financial source</x:v>
      </x:c>
      <x:c r="W63" s="24" t="str">
        <x:v>Municipal TIF annual report, section 3.1, current-year Property Tax Increment. FY 2025</x:v>
      </x:c>
      <x:c r="X63" s="24" t="e">
        <x:f>HYPERLINK("https://www.greenvilleillinois.com/index.asp?SEC=0CECA4E0-0F5C-4C5F-BAD0-F8FEB24463A1","Name source")</x:f>
        <x:v>HYPERLINK is not implemented. linkLocation=https://www.greenvilleillinois.com/index.asp?SEC=0CECA4E0-0F5C-4C5F-BAD0-F8FEB24463A1, friendlyName=Name source</x:v>
      </x:c>
      <x:c r="Y63" s="1" t="n">
        <x:v>1</x:v>
      </x:c>
      <x:c r="Z63" s="1"/>
      <x:c r="AA63" s="1"/>
    </x:row>
    <x:row r="64" ht="54" customHeight="1">
      <x:c r="A64" s="12" t="n">
        <x:v>57</x:v>
      </x:c>
      <x:c r="B64" s="12" t="str">
        <x:v>SB 1139</x:v>
      </x:c>
      <x:c r="C64" s="12" t="str">
        <x:v>102-0675</x:v>
      </x:c>
      <x:c r="D64" s="17" t="d">
        <x:v>2021-11-30T00:00:00.000Z</x:v>
      </x:c>
      <x:c r="E64" s="18" t="str">
        <x:v>Chicago</x:v>
      </x:c>
      <x:c r="F64" s="13" t="str">
        <x:v>Kinzie Industrial TIF district</x:v>
      </x:c>
      <x:c r="G64" s="15" t="d">
        <x:v>1998-06-10T00:00:00.000Z</x:v>
      </x:c>
      <x:c r="H64" s="19" t="n">
        <x:v>23</x:v>
      </x:c>
      <x:c r="I64" s="19" t="n">
        <x:v>35</x:v>
      </x:c>
      <x:c r="J64" s="19" t="n">
        <x:v>12</x:v>
      </x:c>
      <x:c r="K64" s="19" t="str">
        <x:v>c(216)</x:v>
      </x:c>
      <x:c r="L64" s="12" t="str">
        <x:v>Tax year 2024</x:v>
      </x:c>
      <x:c r="M64" s="23" t="n">
        <x:v>150941715.43</x:v>
      </x:c>
      <x:c r="N64" s="22" t="n">
        <x:f>IF(ISNUMBER(M64),M64*J64,"")</x:f>
        <x:v>1811300585.16</x:v>
      </x:c>
      <x:c r="O64" s="13" t="str">
        <x:v>Not determinable from extension law / TIF receipts alone</x:v>
      </x:c>
      <x:c r="P64" s="13" t="str"/>
      <x:c r="Q64" s="12" t="str"/>
      <x:c r="R64" s="24" t="e">
        <x:f>HYPERLINK("https://www.ilga.gov/ftp/Public%20Acts/102/102-0675.htm","Signed Public Act")</x:f>
        <x:v>HYPERLINK is not implemented. linkLocation=https://www.ilga.gov/ftp/Public%20Acts/102/102-0675.htm, friendlyName=Signed Public Act</x:v>
      </x:c>
      <x:c r="S64" s="24" t="e">
        <x:f>HYPERLINK("https://legiscan.com/IL/bill/SB1139/2021","Signing history")</x:f>
        <x:v>HYPERLINK is not implemented. linkLocation=https://legiscan.com/IL/bill/SB1139/2021, friendlyName=Signing history</x:v>
      </x:c>
      <x:c r="T64"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64"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64" s="24" t="e">
        <x:f>HYPERLINK("https://news.wttw.com/sites/default/files/article/file-attachments/2024-tif-report.pdf#page=40","Financial source")</x:f>
        <x:v>HYPERLINK is not implemented. linkLocation=https://news.wttw.com/sites/default/files/article/file-attachments/2024-tif-report.pdf#page=40, friendlyName=Financial source</x:v>
      </x:c>
      <x:c r="W64" s="24" t="str">
        <x:v>Cook County Clerk 2024 TIF report; 03-0210-561; Chicago - Kinzie Conservation (Industrial Area); PDF page 40</x:v>
      </x:c>
      <x:c r="X64" s="24" t="e">
        <x:f>HYPERLINK("https://www.ilga.gov/ftp/Public%20Acts/102/102-0675.htm","Name source")</x:f>
        <x:v>HYPERLINK is not implemented. linkLocation=https://www.ilga.gov/ftp/Public%20Acts/102/102-0675.htm, friendlyName=Name source</x:v>
      </x:c>
      <x:c r="Y64" s="1" t="n">
        <x:v>1</x:v>
      </x:c>
      <x:c r="Z64" s="1"/>
      <x:c r="AA64" s="1"/>
    </x:row>
    <x:row r="65" ht="54" customHeight="1">
      <x:c r="A65" s="12" t="n">
        <x:v>58</x:v>
      </x:c>
      <x:c r="B65" s="12" t="str">
        <x:v>SB 1139</x:v>
      </x:c>
      <x:c r="C65" s="12" t="str">
        <x:v>102-0675</x:v>
      </x:c>
      <x:c r="D65" s="17" t="d">
        <x:v>2021-11-30T00:00:00.000Z</x:v>
      </x:c>
      <x:c r="E65" s="18" t="str">
        <x:v>Chicago</x:v>
      </x:c>
      <x:c r="F65" s="13" t="str">
        <x:v>Northwest Industrial TIF district</x:v>
      </x:c>
      <x:c r="G65" s="15" t="d">
        <x:v>1998-12-02T00:00:00.000Z</x:v>
      </x:c>
      <x:c r="H65" s="19" t="n">
        <x:v>23</x:v>
      </x:c>
      <x:c r="I65" s="19" t="n">
        <x:v>35</x:v>
      </x:c>
      <x:c r="J65" s="19" t="n">
        <x:v>12</x:v>
      </x:c>
      <x:c r="K65" s="19" t="str">
        <x:v>c(217)</x:v>
      </x:c>
      <x:c r="L65" s="12" t="str">
        <x:v>Tax year 2024</x:v>
      </x:c>
      <x:c r="M65" s="23" t="n">
        <x:v>24571528.93</x:v>
      </x:c>
      <x:c r="N65" s="22" t="n">
        <x:f>IF(ISNUMBER(M65),M65*J65,"")</x:f>
        <x:v>294858347.15999997</x:v>
      </x:c>
      <x:c r="O65" s="13" t="str">
        <x:v>Not determinable from extension law / TIF receipts alone</x:v>
      </x:c>
      <x:c r="P65" s="13" t="str"/>
      <x:c r="Q65" s="12" t="str"/>
      <x:c r="R65" s="24" t="e">
        <x:f>HYPERLINK("https://www.ilga.gov/ftp/Public%20Acts/102/102-0675.htm","Signed Public Act")</x:f>
        <x:v>HYPERLINK is not implemented. linkLocation=https://www.ilga.gov/ftp/Public%20Acts/102/102-0675.htm, friendlyName=Signed Public Act</x:v>
      </x:c>
      <x:c r="S65" s="24" t="e">
        <x:f>HYPERLINK("https://legiscan.com/IL/bill/SB1139/2021","Signing history")</x:f>
        <x:v>HYPERLINK is not implemented. linkLocation=https://legiscan.com/IL/bill/SB1139/2021, friendlyName=Signing history</x:v>
      </x:c>
      <x:c r="T65"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65"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65" s="24" t="e">
        <x:f>HYPERLINK("https://news.wttw.com/sites/default/files/article/file-attachments/2024-tif-report.pdf#page=40","Financial source")</x:f>
        <x:v>HYPERLINK is not implemented. linkLocation=https://news.wttw.com/sites/default/files/article/file-attachments/2024-tif-report.pdf#page=40, friendlyName=Financial source</x:v>
      </x:c>
      <x:c r="W65" s="24" t="str">
        <x:v>Cook County Clerk 2024 TIF report; 03-0210-578; Chicago - NW Industrial Corridor; PDF page 40</x:v>
      </x:c>
      <x:c r="X65" s="24" t="e">
        <x:f>HYPERLINK("https://www.ilga.gov/ftp/Public%20Acts/102/102-0675.htm","Name source")</x:f>
        <x:v>HYPERLINK is not implemented. linkLocation=https://www.ilga.gov/ftp/Public%20Acts/102/102-0675.htm, friendlyName=Name source</x:v>
      </x:c>
      <x:c r="Y65" s="1" t="n">
        <x:v>1</x:v>
      </x:c>
      <x:c r="Z65" s="1"/>
      <x:c r="AA65" s="1"/>
    </x:row>
    <x:row r="66" ht="54" customHeight="1">
      <x:c r="A66" s="12" t="n">
        <x:v>59</x:v>
      </x:c>
      <x:c r="B66" s="12" t="str">
        <x:v>SB 1139</x:v>
      </x:c>
      <x:c r="C66" s="12" t="str">
        <x:v>102-0675</x:v>
      </x:c>
      <x:c r="D66" s="17" t="d">
        <x:v>2021-11-30T00:00:00.000Z</x:v>
      </x:c>
      <x:c r="E66" s="18" t="str">
        <x:v>Chicago</x:v>
      </x:c>
      <x:c r="F66" s="13" t="str">
        <x:v>Pilsen Industrial TIF district</x:v>
      </x:c>
      <x:c r="G66" s="15" t="d">
        <x:v>1998-06-10T00:00:00.000Z</x:v>
      </x:c>
      <x:c r="H66" s="19" t="n">
        <x:v>23</x:v>
      </x:c>
      <x:c r="I66" s="19" t="n">
        <x:v>35</x:v>
      </x:c>
      <x:c r="J66" s="19" t="n">
        <x:v>12</x:v>
      </x:c>
      <x:c r="K66" s="19" t="str">
        <x:v>c(218)</x:v>
      </x:c>
      <x:c r="L66" s="12" t="str">
        <x:v>Tax year 2024</x:v>
      </x:c>
      <x:c r="M66" s="23" t="n">
        <x:v>47404428.31</x:v>
      </x:c>
      <x:c r="N66" s="22" t="n">
        <x:f>IF(ISNUMBER(M66),M66*J66,"")</x:f>
        <x:v>568853139.72</x:v>
      </x:c>
      <x:c r="O66" s="13" t="str">
        <x:v>Not determinable from extension law / TIF receipts alone</x:v>
      </x:c>
      <x:c r="P66" s="13" t="str"/>
      <x:c r="Q66" s="12" t="str"/>
      <x:c r="R66" s="24" t="e">
        <x:f>HYPERLINK("https://www.ilga.gov/ftp/Public%20Acts/102/102-0675.htm","Signed Public Act")</x:f>
        <x:v>HYPERLINK is not implemented. linkLocation=https://www.ilga.gov/ftp/Public%20Acts/102/102-0675.htm, friendlyName=Signed Public Act</x:v>
      </x:c>
      <x:c r="S66" s="24" t="e">
        <x:f>HYPERLINK("https://legiscan.com/IL/bill/SB1139/2021","Signing history")</x:f>
        <x:v>HYPERLINK is not implemented. linkLocation=https://legiscan.com/IL/bill/SB1139/2021, friendlyName=Signing history</x:v>
      </x:c>
      <x:c r="T66"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66"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66" s="24" t="e">
        <x:f>HYPERLINK("https://news.wttw.com/sites/default/files/article/file-attachments/2024-tif-report.pdf#page=40","Financial source")</x:f>
        <x:v>HYPERLINK is not implemented. linkLocation=https://news.wttw.com/sites/default/files/article/file-attachments/2024-tif-report.pdf#page=40, friendlyName=Financial source</x:v>
      </x:c>
      <x:c r="W66" s="24" t="str">
        <x:v>Cook County Clerk 2024 TIF report; 03-0210-582; Chicago - Pilsen; PDF page 40</x:v>
      </x:c>
      <x:c r="X66" s="24" t="e">
        <x:f>HYPERLINK("https://www.ilga.gov/ftp/Public%20Acts/102/102-0675.htm","Name source")</x:f>
        <x:v>HYPERLINK is not implemented. linkLocation=https://www.ilga.gov/ftp/Public%20Acts/102/102-0675.htm, friendlyName=Name source</x:v>
      </x:c>
      <x:c r="Y66" s="1" t="n">
        <x:v>1</x:v>
      </x:c>
      <x:c r="Z66" s="1"/>
      <x:c r="AA66" s="1"/>
    </x:row>
    <x:row r="67" ht="54" customHeight="1">
      <x:c r="A67" s="12" t="n">
        <x:v>60</x:v>
      </x:c>
      <x:c r="B67" s="12" t="str">
        <x:v>SB 1139</x:v>
      </x:c>
      <x:c r="C67" s="12" t="str">
        <x:v>102-0675</x:v>
      </x:c>
      <x:c r="D67" s="17" t="d">
        <x:v>2021-11-30T00:00:00.000Z</x:v>
      </x:c>
      <x:c r="E67" s="18" t="str">
        <x:v>Chicago</x:v>
      </x:c>
      <x:c r="F67" s="13" t="str">
        <x:v>35th/Halsted TIF district</x:v>
      </x:c>
      <x:c r="G67" s="15" t="d">
        <x:v>1997-01-14T00:00:00.000Z</x:v>
      </x:c>
      <x:c r="H67" s="19" t="n">
        <x:v>23</x:v>
      </x:c>
      <x:c r="I67" s="19" t="n">
        <x:v>35</x:v>
      </x:c>
      <x:c r="J67" s="19" t="n">
        <x:v>12</x:v>
      </x:c>
      <x:c r="K67" s="19" t="str">
        <x:v>c(219)</x:v>
      </x:c>
      <x:c r="L67" s="12" t="str">
        <x:v>Tax year 2024</x:v>
      </x:c>
      <x:c r="M67" s="23" t="n">
        <x:v>21828660.31</x:v>
      </x:c>
      <x:c r="N67" s="22" t="n">
        <x:f>IF(ISNUMBER(M67),M67*J67,"")</x:f>
        <x:v>261943923.71999997</x:v>
      </x:c>
      <x:c r="O67" s="13" t="str">
        <x:v>Not determinable from extension law / TIF receipts alone</x:v>
      </x:c>
      <x:c r="P67" s="13" t="str"/>
      <x:c r="Q67" s="12" t="str"/>
      <x:c r="R67" s="24" t="e">
        <x:f>HYPERLINK("https://www.ilga.gov/ftp/Public%20Acts/102/102-0675.htm","Signed Public Act")</x:f>
        <x:v>HYPERLINK is not implemented. linkLocation=https://www.ilga.gov/ftp/Public%20Acts/102/102-0675.htm, friendlyName=Signed Public Act</x:v>
      </x:c>
      <x:c r="S67" s="24" t="e">
        <x:f>HYPERLINK("https://legiscan.com/IL/bill/SB1139/2021","Signing history")</x:f>
        <x:v>HYPERLINK is not implemented. linkLocation=https://legiscan.com/IL/bill/SB1139/2021, friendlyName=Signing history</x:v>
      </x:c>
      <x:c r="T67"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67"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67" s="24" t="e">
        <x:f>HYPERLINK("https://news.wttw.com/sites/default/files/article/file-attachments/2024-tif-report.pdf#page=39","Financial source")</x:f>
        <x:v>HYPERLINK is not implemented. linkLocation=https://news.wttw.com/sites/default/files/article/file-attachments/2024-tif-report.pdf#page=39, friendlyName=Financial source</x:v>
      </x:c>
      <x:c r="W67" s="24" t="str">
        <x:v>Cook County Clerk 2024 TIF report; 03-0210-504; Chicago - 35th / Halsted; PDF page 39</x:v>
      </x:c>
      <x:c r="X67" s="24" t="e">
        <x:f>HYPERLINK("https://www.ilga.gov/ftp/Public%20Acts/102/102-0675.htm","Name source")</x:f>
        <x:v>HYPERLINK is not implemented. linkLocation=https://www.ilga.gov/ftp/Public%20Acts/102/102-0675.htm, friendlyName=Name source</x:v>
      </x:c>
      <x:c r="Y67" s="1" t="n">
        <x:v>1</x:v>
      </x:c>
      <x:c r="Z67" s="1"/>
      <x:c r="AA67" s="1"/>
    </x:row>
    <x:row r="68" ht="54" customHeight="1">
      <x:c r="A68" s="12" t="n">
        <x:v>61</x:v>
      </x:c>
      <x:c r="B68" s="12" t="str">
        <x:v>SB 1139</x:v>
      </x:c>
      <x:c r="C68" s="12" t="str">
        <x:v>102-0675</x:v>
      </x:c>
      <x:c r="D68" s="17" t="d">
        <x:v>2021-11-30T00:00:00.000Z</x:v>
      </x:c>
      <x:c r="E68" s="18" t="str">
        <x:v>Chicago</x:v>
      </x:c>
      <x:c r="F68" s="13" t="str">
        <x:v>Pulaski Corridor TIF district</x:v>
      </x:c>
      <x:c r="G68" s="15" t="d">
        <x:v>1999-06-09T00:00:00.000Z</x:v>
      </x:c>
      <x:c r="H68" s="19" t="n">
        <x:v>23</x:v>
      </x:c>
      <x:c r="I68" s="19" t="n">
        <x:v>35</x:v>
      </x:c>
      <x:c r="J68" s="19" t="n">
        <x:v>12</x:v>
      </x:c>
      <x:c r="K68" s="19" t="str">
        <x:v>c(220)</x:v>
      </x:c>
      <x:c r="L68" s="12" t="str">
        <x:v>Tax year 2024</x:v>
      </x:c>
      <x:c r="M68" s="23" t="n">
        <x:v>14385443.95</x:v>
      </x:c>
      <x:c r="N68" s="22" t="n">
        <x:f>IF(ISNUMBER(M68),M68*J68,"")</x:f>
        <x:v>172625327.39999998</x:v>
      </x:c>
      <x:c r="O68" s="13" t="str">
        <x:v>Not determinable from extension law / TIF receipts alone</x:v>
      </x:c>
      <x:c r="P68" s="13" t="str"/>
      <x:c r="Q68" s="12" t="str"/>
      <x:c r="R68" s="24" t="e">
        <x:f>HYPERLINK("https://www.ilga.gov/ftp/Public%20Acts/102/102-0675.htm","Signed Public Act")</x:f>
        <x:v>HYPERLINK is not implemented. linkLocation=https://www.ilga.gov/ftp/Public%20Acts/102/102-0675.htm, friendlyName=Signed Public Act</x:v>
      </x:c>
      <x:c r="S68" s="24" t="e">
        <x:f>HYPERLINK("https://legiscan.com/IL/bill/SB1139/2021","Signing history")</x:f>
        <x:v>HYPERLINK is not implemented. linkLocation=https://legiscan.com/IL/bill/SB1139/2021, friendlyName=Signing history</x:v>
      </x:c>
      <x:c r="T68"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68"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68" s="24" t="e">
        <x:f>HYPERLINK("https://news.wttw.com/sites/default/files/article/file-attachments/2024-tif-report.pdf#page=41","Financial source")</x:f>
        <x:v>HYPERLINK is not implemented. linkLocation=https://news.wttw.com/sites/default/files/article/file-attachments/2024-tif-report.pdf#page=41, friendlyName=Financial source</x:v>
      </x:c>
      <x:c r="W68" s="24" t="str">
        <x:v>Cook County Clerk 2024 TIF report; 03-0210-584; Chicago - Pulaski Corridor; PDF page 41</x:v>
      </x:c>
      <x:c r="X68" s="24" t="e">
        <x:f>HYPERLINK("https://www.ilga.gov/ftp/Public%20Acts/102/102-0675.htm","Name source")</x:f>
        <x:v>HYPERLINK is not implemented. linkLocation=https://www.ilga.gov/ftp/Public%20Acts/102/102-0675.htm, friendlyName=Name source</x:v>
      </x:c>
      <x:c r="Y68" s="1" t="n">
        <x:v>1</x:v>
      </x:c>
      <x:c r="Z68" s="1"/>
      <x:c r="AA68" s="1"/>
    </x:row>
    <x:row r="69" ht="54" customHeight="1">
      <x:c r="A69" s="12" t="n">
        <x:v>62</x:v>
      </x:c>
      <x:c r="B69" s="12" t="str">
        <x:v>SB 1139</x:v>
      </x:c>
      <x:c r="C69" s="12" t="str">
        <x:v>102-0675</x:v>
      </x:c>
      <x:c r="D69" s="17" t="d">
        <x:v>2021-11-30T00:00:00.000Z</x:v>
      </x:c>
      <x:c r="E69" s="18" t="str">
        <x:v>Springfield</x:v>
      </x:c>
      <x:c r="F69" s="13" t="str">
        <x:v>Enos Park Neighborhood TIF District</x:v>
      </x:c>
      <x:c r="G69" s="15" t="d">
        <x:v>1997-12-16T00:00:00.000Z</x:v>
      </x:c>
      <x:c r="H69" s="19" t="n">
        <x:v>23</x:v>
      </x:c>
      <x:c r="I69" s="19" t="n">
        <x:v>35</x:v>
      </x:c>
      <x:c r="J69" s="19" t="n">
        <x:v>12</x:v>
      </x:c>
      <x:c r="K69" s="19" t="str">
        <x:v>c(221)</x:v>
      </x:c>
      <x:c r="L69" s="12" t="str">
        <x:v>Fiscal year 2025</x:v>
      </x:c>
      <x:c r="M69" s="23" t="n">
        <x:v>636144</x:v>
      </x:c>
      <x:c r="N69" s="22" t="n">
        <x:f>IF(ISNUMBER(M69),M69*J69,"")</x:f>
        <x:v>7633728</x:v>
      </x:c>
      <x:c r="O69" s="13" t="str">
        <x:v>Not determinable from extension law / TIF receipts alone</x:v>
      </x:c>
      <x:c r="P69" s="13" t="str"/>
      <x:c r="Q69" s="12" t="str"/>
      <x:c r="R69" s="24" t="e">
        <x:f>HYPERLINK("https://www.ilga.gov/ftp/Public%20Acts/102/102-0675.htm","Signed Public Act")</x:f>
        <x:v>HYPERLINK is not implemented. linkLocation=https://www.ilga.gov/ftp/Public%20Acts/102/102-0675.htm, friendlyName=Signed Public Act</x:v>
      </x:c>
      <x:c r="S69" s="24" t="e">
        <x:f>HYPERLINK("https://legiscan.com/IL/bill/SB1139/2021","Signing history")</x:f>
        <x:v>HYPERLINK is not implemented. linkLocation=https://legiscan.com/IL/bill/SB1139/2021, friendlyName=Signing history</x:v>
      </x:c>
      <x:c r="T69" s="24" t="e">
        <x:f>HYPERLINK("https://files.illinoiscomptroller.gov/LocGovTIF/FY2025/08312030/25TIF08312030Enos_Pk_Nhborhood_1.pdf","TIF annual reporting")</x:f>
        <x:v>HYPERLINK is not implemented. linkLocation=https://files.illinoiscomptroller.gov/LocGovTIF/FY2025/08312030/25TIF08312030Enos_Pk_Nhborhood_1.pdf, friendlyName=TIF annual reporting</x:v>
      </x:c>
      <x:c r="U69" s="24" t="e">
        <x:f>HYPERLINK("https://illinoiscomptroller.gov/constituent-services/local-government/local-government-warehouse/landingpage?code=083%2F120%2F30","Municipal report index")</x:f>
        <x:v>HYPERLINK is not implemented. linkLocation=https://illinoiscomptroller.gov/constituent-services/local-government/local-government-warehouse/landingpage?code=083%2F120%2F30, friendlyName=Municipal report index</x:v>
      </x:c>
      <x:c r="V69" s="24" t="e">
        <x:f>HYPERLINK("https://files.illinoiscomptroller.gov/LocGovTIF/FY2025/08312030/25TIF08312030Enos_Pk_Nhborhood_1.pdf#page=3","Financial source")</x:f>
        <x:v>HYPERLINK is not implemented. linkLocation=https://files.illinoiscomptroller.gov/LocGovTIF/FY2025/08312030/25TIF08312030Enos_Pk_Nhborhood_1.pdf#page=3, friendlyName=Financial source</x:v>
      </x:c>
      <x:c r="W69" s="24" t="str">
        <x:v>Municipal TIF annual report, section 3.1, current-year Property Tax Increment. FY 2025</x:v>
      </x:c>
      <x:c r="X69" s="24" t="e">
        <x:f>HYPERLINK("https://www.ilga.gov/ftp/Public%20Acts/102/102-0675.htm","Name source")</x:f>
        <x:v>HYPERLINK is not implemented. linkLocation=https://www.ilga.gov/ftp/Public%20Acts/102/102-0675.htm, friendlyName=Name source</x:v>
      </x:c>
      <x:c r="Y69" s="1" t="n">
        <x:v>1</x:v>
      </x:c>
      <x:c r="Z69" s="1"/>
      <x:c r="AA69" s="1"/>
    </x:row>
    <x:row r="70" ht="54" customHeight="1">
      <x:c r="A70" s="12" t="n">
        <x:v>63</x:v>
      </x:c>
      <x:c r="B70" s="12" t="str">
        <x:v>SB 1139</x:v>
      </x:c>
      <x:c r="C70" s="12" t="str">
        <x:v>102-0675</x:v>
      </x:c>
      <x:c r="D70" s="17" t="d">
        <x:v>2021-11-30T00:00:00.000Z</x:v>
      </x:c>
      <x:c r="E70" s="18" t="str">
        <x:v>Pekin</x:v>
      </x:c>
      <x:c r="F70" s="13" t="str">
        <x:v>TIF Central Bus. Dist.</x:v>
      </x:c>
      <x:c r="G70" s="15" t="d">
        <x:v>1986-11-11T00:00:00.000Z</x:v>
      </x:c>
      <x:c r="H70" s="19" t="n">
        <x:v>35</x:v>
      </x:c>
      <x:c r="I70" s="19" t="n">
        <x:v>47</x:v>
      </x:c>
      <x:c r="J70" s="19" t="n">
        <x:v>12</x:v>
      </x:c>
      <x:c r="K70" s="19" t="str">
        <x:v>f-5(12)</x:v>
      </x:c>
      <x:c r="L70" s="12" t="str">
        <x:v>Fiscal year 2024</x:v>
      </x:c>
      <x:c r="M70" s="23" t="n">
        <x:v>501465</x:v>
      </x:c>
      <x:c r="N70" s="22" t="n">
        <x:f>IF(ISNUMBER(M70),M70*J70,"")</x:f>
        <x:v>6017580</x:v>
      </x:c>
      <x:c r="O70" s="13" t="str">
        <x:v>Not determinable from extension law / TIF receipts alone</x:v>
      </x:c>
      <x:c r="P70" s="13" t="str"/>
      <x:c r="Q70" s="12" t="str"/>
      <x:c r="R70" s="24" t="e">
        <x:f>HYPERLINK("https://www.ilga.gov/ftp/Public%20Acts/102/102-0675.htm","Signed Public Act")</x:f>
        <x:v>HYPERLINK is not implemented. linkLocation=https://www.ilga.gov/ftp/Public%20Acts/102/102-0675.htm, friendlyName=Signed Public Act</x:v>
      </x:c>
      <x:c r="S70" s="24" t="e">
        <x:f>HYPERLINK("https://legiscan.com/IL/bill/SB1139/2021","Signing history")</x:f>
        <x:v>HYPERLINK is not implemented. linkLocation=https://legiscan.com/IL/bill/SB1139/2021, friendlyName=Signing history</x:v>
      </x:c>
      <x:c r="T70" s="24" t="e">
        <x:f>HYPERLINK("https://files.illinoiscomptroller.gov/LocGovTIF/FY2024/09007030/24TIF09007030TIF_Centrs._Dist._1.pdf","TIF annual reporting")</x:f>
        <x:v>HYPERLINK is not implemented. linkLocation=https://files.illinoiscomptroller.gov/LocGovTIF/FY2024/09007030/24TIF09007030TIF_Centrs._Dist._1.pdf, friendlyName=TIF annual reporting</x:v>
      </x:c>
      <x:c r="U70" s="24" t="e">
        <x:f>HYPERLINK("https://illinoiscomptroller.gov/constituent-services/local-government/local-government-warehouse/landingpage?code=090%2F070%2F30","Municipal report index")</x:f>
        <x:v>HYPERLINK is not implemented. linkLocation=https://illinoiscomptroller.gov/constituent-services/local-government/local-government-warehouse/landingpage?code=090%2F070%2F30, friendlyName=Municipal report index</x:v>
      </x:c>
      <x:c r="V70" s="24" t="e">
        <x:f>HYPERLINK("https://files.illinoiscomptroller.gov/LocGovTIF/FY2024/09007030/24TIF09007030TIF_Centrs._Dist._1.pdf#page=3","Financial source")</x:f>
        <x:v>HYPERLINK is not implemented. linkLocation=https://files.illinoiscomptroller.gov/LocGovTIF/FY2024/09007030/24TIF09007030TIF_Centrs._Dist._1.pdf#page=3, friendlyName=Financial source</x:v>
      </x:c>
      <x:c r="W70" s="24" t="str">
        <x:v>Municipal TIF annual report, section 3.1, current-year Property Tax Increment. FY 2024</x:v>
      </x:c>
      <x:c r="X70" s="24" t="e">
        <x:f>HYPERLINK("https://files.illinoiscomptroller.gov/LocGovTIF/FY2024/09007030/24TIF09007030TIF_Centrs._Dist._1.pdf","Name source")</x:f>
        <x:v>HYPERLINK is not implemented. linkLocation=https://files.illinoiscomptroller.gov/LocGovTIF/FY2024/09007030/24TIF09007030TIF_Centrs._Dist._1.pdf, friendlyName=Name source</x:v>
      </x:c>
      <x:c r="Y70" s="1" t="n">
        <x:v>1</x:v>
      </x:c>
      <x:c r="Z70" s="1"/>
      <x:c r="AA70" s="1"/>
    </x:row>
    <x:row r="71" ht="54" customHeight="1">
      <x:c r="A71" s="12" t="n">
        <x:v>64</x:v>
      </x:c>
      <x:c r="B71" s="12" t="str">
        <x:v>SB 1139</x:v>
      </x:c>
      <x:c r="C71" s="12" t="str">
        <x:v>102-0675</x:v>
      </x:c>
      <x:c r="D71" s="17" t="d">
        <x:v>2021-11-30T00:00:00.000Z</x:v>
      </x:c>
      <x:c r="E71" s="18" t="str">
        <x:v>Belleville</x:v>
      </x:c>
      <x:c r="F71" s="13" t="str">
        <x:v>TIF 3</x:v>
      </x:c>
      <x:c r="G71" s="15" t="d">
        <x:v>1986-12-30T00:00:00.000Z</x:v>
      </x:c>
      <x:c r="H71" s="19" t="n">
        <x:v>35</x:v>
      </x:c>
      <x:c r="I71" s="19" t="n">
        <x:v>47</x:v>
      </x:c>
      <x:c r="J71" s="19" t="n">
        <x:v>12</x:v>
      </x:c>
      <x:c r="K71" s="19" t="str">
        <x:v>f-5(13)</x:v>
      </x:c>
      <x:c r="L71" s="12" t="str">
        <x:v>Fiscal year 2025</x:v>
      </x:c>
      <x:c r="M71" s="23" t="n">
        <x:v>17884974</x:v>
      </x:c>
      <x:c r="N71" s="22" t="n">
        <x:f>IF(ISNUMBER(M71),M71*J71,"")</x:f>
        <x:v>214619688</x:v>
      </x:c>
      <x:c r="O71" s="13" t="str">
        <x:v>Not determinable from extension law / TIF receipts alone</x:v>
      </x:c>
      <x:c r="P71" s="13" t="str"/>
      <x:c r="Q71" s="12" t="str"/>
      <x:c r="R71" s="24" t="e">
        <x:f>HYPERLINK("https://www.ilga.gov/ftp/Public%20Acts/102/102-0675.htm","Signed Public Act")</x:f>
        <x:v>HYPERLINK is not implemented. linkLocation=https://www.ilga.gov/ftp/Public%20Acts/102/102-0675.htm, friendlyName=Signed Public Act</x:v>
      </x:c>
      <x:c r="S71" s="24" t="e">
        <x:f>HYPERLINK("https://legiscan.com/IL/bill/SB1139/2021","Signing history")</x:f>
        <x:v>HYPERLINK is not implemented. linkLocation=https://legiscan.com/IL/bill/SB1139/2021, friendlyName=Signing history</x:v>
      </x:c>
      <x:c r="T71" s="24" t="e">
        <x:f>HYPERLINK("https://files.illinoiscomptroller.gov/LocGovTIF/FY2025/08801530/25TIF08801530TIF_3_1.pdf","TIF annual reporting")</x:f>
        <x:v>HYPERLINK is not implemented. linkLocation=https://files.illinoiscomptroller.gov/LocGovTIF/FY2025/08801530/25TIF08801530TIF_3_1.pdf, friendlyName=TIF annual reporting</x:v>
      </x:c>
      <x:c r="U71" s="24" t="e">
        <x:f>HYPERLINK("https://illinoiscomptroller.gov/constituent-services/local-government/local-government-warehouse/landingpage?code=088%2F015%2F30","Municipal report index")</x:f>
        <x:v>HYPERLINK is not implemented. linkLocation=https://illinoiscomptroller.gov/constituent-services/local-government/local-government-warehouse/landingpage?code=088%2F015%2F30, friendlyName=Municipal report index</x:v>
      </x:c>
      <x:c r="V71" s="24" t="e">
        <x:f>HYPERLINK("https://files.illinoiscomptroller.gov/LocGovTIF/FY2025/08801530/25TIF08801530TIF_3_1.pdf#page=3","Financial source")</x:f>
        <x:v>HYPERLINK is not implemented. linkLocation=https://files.illinoiscomptroller.gov/LocGovTIF/FY2025/08801530/25TIF08801530TIF_3_1.pdf#page=3, friendlyName=Financial source</x:v>
      </x:c>
      <x:c r="W71" s="24" t="str">
        <x:v>Municipal TIF annual report, section 3.1, current-year Property Tax Increment. FY 2025</x:v>
      </x:c>
      <x:c r="X71" s="24" t="e">
        <x:f>HYPERLINK("https://files.illinoiscomptroller.gov/LocGovTIF/FY2025/08801530/25TIF08801530TIF_3_1.pdf","Name source")</x:f>
        <x:v>HYPERLINK is not implemented. linkLocation=https://files.illinoiscomptroller.gov/LocGovTIF/FY2025/08801530/25TIF08801530TIF_3_1.pdf, friendlyName=Name source</x:v>
      </x:c>
      <x:c r="Y71" s="1" t="n">
        <x:v>1</x:v>
      </x:c>
      <x:c r="Z71" s="1"/>
      <x:c r="AA71" s="1"/>
    </x:row>
    <x:row r="72" ht="54" customHeight="1">
      <x:c r="A72" s="12" t="n">
        <x:v>65</x:v>
      </x:c>
      <x:c r="B72" s="12" t="str">
        <x:v>SB 2990</x:v>
      </x:c>
      <x:c r="C72" s="12" t="str">
        <x:v>102-0745</x:v>
      </x:c>
      <x:c r="D72" s="17" t="d">
        <x:v>2022-05-06T00:00:00.000Z</x:v>
      </x:c>
      <x:c r="E72" s="18" t="str">
        <x:v>Palatine</x:v>
      </x:c>
      <x:c r="F72" s="13" t="str">
        <x:v>Village of Palatine Downtown Area TIF District</x:v>
      </x:c>
      <x:c r="G72" s="15" t="d">
        <x:v>1999-12-13T00:00:00.000Z</x:v>
      </x:c>
      <x:c r="H72" s="19" t="n">
        <x:v>23</x:v>
      </x:c>
      <x:c r="I72" s="19" t="n">
        <x:v>35</x:v>
      </x:c>
      <x:c r="J72" s="19" t="n">
        <x:v>12</x:v>
      </x:c>
      <x:c r="K72" s="19" t="str">
        <x:v>c(222)</x:v>
      </x:c>
      <x:c r="L72" s="12" t="str">
        <x:v>Tax year 2024</x:v>
      </x:c>
      <x:c r="M72" s="23" t="n">
        <x:v>8744606.53</x:v>
      </x:c>
      <x:c r="N72" s="22" t="n">
        <x:f>IF(ISNUMBER(M72),M72*J72,"")</x:f>
        <x:v>104935278.35999998</x:v>
      </x:c>
      <x:c r="O72" s="13" t="str">
        <x:v>Not determinable from extension law / TIF receipts alone</x:v>
      </x:c>
      <x:c r="P72" s="13" t="str"/>
      <x:c r="Q72" s="12" t="str"/>
      <x:c r="R72" s="24" t="e">
        <x:f>HYPERLINK("https://www.ilga.gov/ftp/Public%20Acts/102/102-0745.htm","Signed Public Act")</x:f>
        <x:v>HYPERLINK is not implemented. linkLocation=https://www.ilga.gov/ftp/Public%20Acts/102/102-0745.htm, friendlyName=Signed Public Act</x:v>
      </x:c>
      <x:c r="S72" s="24" t="e">
        <x:f>HYPERLINK("https://legiscan.com/IL/bill/SB2990/2021","Signing history")</x:f>
        <x:v>HYPERLINK is not implemented. linkLocation=https://legiscan.com/IL/bill/SB2990/2021, friendlyName=Signing history</x:v>
      </x:c>
      <x:c r="T72" s="24" t="e">
        <x:f>HYPERLINK("https://files.illinoiscomptroller.gov/LocGovTIF/FY2025/01643032/25TIF01643032Downtown_TIF_1.pdf","TIF annual reporting")</x:f>
        <x:v>HYPERLINK is not implemented. linkLocation=https://files.illinoiscomptroller.gov/LocGovTIF/FY2025/01643032/25TIF01643032Downtown_TIF_1.pdf, friendlyName=TIF annual reporting</x:v>
      </x:c>
      <x:c r="U72" s="24" t="e">
        <x:f>HYPERLINK("https://illinoiscomptroller.gov/constituent-services/local-government/local-government-warehouse/landingpage?code=016%2F430%2F32","Municipal report index")</x:f>
        <x:v>HYPERLINK is not implemented. linkLocation=https://illinoiscomptroller.gov/constituent-services/local-government/local-government-warehouse/landingpage?code=016%2F430%2F32, friendlyName=Municipal report index</x:v>
      </x:c>
      <x:c r="V72" s="24" t="e">
        <x:f>HYPERLINK("https://news.wttw.com/sites/default/files/article/file-attachments/2024-tif-report.pdf#page=59","Financial source")</x:f>
        <x:v>HYPERLINK is not implemented. linkLocation=https://news.wttw.com/sites/default/files/article/file-attachments/2024-tif-report.pdf#page=59, friendlyName=Financial source</x:v>
      </x:c>
      <x:c r="W72" s="24" t="str">
        <x:v>Cook County Clerk 2024 TIF report; 03-0960-501; Palatine - Downtown; PDF page 59</x:v>
      </x:c>
      <x:c r="X72" s="24" t="e">
        <x:f>HYPERLINK("https://www.ilga.gov/ftp/Public%20Acts/102/102-0745.htm","Name source")</x:f>
        <x:v>HYPERLINK is not implemented. linkLocation=https://www.ilga.gov/ftp/Public%20Acts/102/102-0745.htm, friendlyName=Name source</x:v>
      </x:c>
      <x:c r="Y72" s="1" t="n">
        <x:v>1</x:v>
      </x:c>
      <x:c r="Z72" s="1"/>
      <x:c r="AA72" s="1"/>
    </x:row>
    <x:row r="73" ht="54" customHeight="1">
      <x:c r="A73" s="12" t="n">
        <x:v>66</x:v>
      </x:c>
      <x:c r="B73" s="12" t="str">
        <x:v>SB 658</x:v>
      </x:c>
      <x:c r="C73" s="12" t="str">
        <x:v>102-0818</x:v>
      </x:c>
      <x:c r="D73" s="17" t="d">
        <x:v>2022-05-13T00:00:00.000Z</x:v>
      </x:c>
      <x:c r="E73" s="18" t="str">
        <x:v>Chicago</x:v>
      </x:c>
      <x:c r="F73" s="13" t="str">
        <x:v>Roosevelt/Cicero redevelopment project area</x:v>
      </x:c>
      <x:c r="G73" s="15" t="d">
        <x:v>1998-02-05T00:00:00.000Z</x:v>
      </x:c>
      <x:c r="H73" s="19" t="n">
        <x:v>23</x:v>
      </x:c>
      <x:c r="I73" s="19" t="n">
        <x:v>35</x:v>
      </x:c>
      <x:c r="J73" s="19" t="n">
        <x:v>12</x:v>
      </x:c>
      <x:c r="K73" s="19" t="str">
        <x:v>c(222)</x:v>
      </x:c>
      <x:c r="L73" s="12" t="str">
        <x:v>Tax year 2024</x:v>
      </x:c>
      <x:c r="M73" s="23" t="n">
        <x:v>13305352.01</x:v>
      </x:c>
      <x:c r="N73" s="22" t="n">
        <x:f>IF(ISNUMBER(M73),M73*J73,"")</x:f>
        <x:v>159664224.12</x:v>
      </x:c>
      <x:c r="O73" s="13" t="str">
        <x:v>Not determinable from extension law / TIF receipts alone</x:v>
      </x:c>
      <x:c r="P73" s="13" t="str"/>
      <x:c r="Q73" s="12" t="str"/>
      <x:c r="R73" s="24" t="e">
        <x:f>HYPERLINK("https://www.ilga.gov/ftp/Public%20Acts/102/102-0818.htm","Signed Public Act")</x:f>
        <x:v>HYPERLINK is not implemented. linkLocation=https://www.ilga.gov/ftp/Public%20Acts/102/102-0818.htm, friendlyName=Signed Public Act</x:v>
      </x:c>
      <x:c r="S73" s="24" t="e">
        <x:f>HYPERLINK("https://legiscan.com/IL/bill/SB658/2021","Signing history")</x:f>
        <x:v>HYPERLINK is not implemented. linkLocation=https://legiscan.com/IL/bill/SB658/2021, friendlyName=Signing history</x:v>
      </x:c>
      <x:c r="T73"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73"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73" s="24" t="e">
        <x:f>HYPERLINK("https://news.wttw.com/sites/default/files/article/file-attachments/2024-tif-report.pdf#page=41","Financial source")</x:f>
        <x:v>HYPERLINK is not implemented. linkLocation=https://news.wttw.com/sites/default/files/article/file-attachments/2024-tif-report.pdf#page=41, friendlyName=Financial source</x:v>
      </x:c>
      <x:c r="W73" s="24" t="str">
        <x:v>Cook County Clerk 2024 TIF report; 03-0210-589; Chicago - Roosevelt / Cicero; PDF page 41</x:v>
      </x:c>
      <x:c r="X73" s="24" t="e">
        <x:f>HYPERLINK("https://www.ilga.gov/ftp/Public%20Acts/102/102-0818.htm","Name source")</x:f>
        <x:v>HYPERLINK is not implemented. linkLocation=https://www.ilga.gov/ftp/Public%20Acts/102/102-0818.htm, friendlyName=Name source</x:v>
      </x:c>
      <x:c r="Y73" s="1" t="n">
        <x:v>1</x:v>
      </x:c>
      <x:c r="Z73" s="1"/>
      <x:c r="AA73" s="1"/>
    </x:row>
    <x:row r="74" ht="54" customHeight="1">
      <x:c r="A74" s="12" t="n">
        <x:v>67</x:v>
      </x:c>
      <x:c r="B74" s="12" t="str">
        <x:v>SB 658</x:v>
      </x:c>
      <x:c r="C74" s="12" t="str">
        <x:v>102-0818</x:v>
      </x:c>
      <x:c r="D74" s="17" t="d">
        <x:v>2022-05-13T00:00:00.000Z</x:v>
      </x:c>
      <x:c r="E74" s="18" t="str">
        <x:v>Chicago</x:v>
      </x:c>
      <x:c r="F74" s="13" t="str">
        <x:v>Western/Ogden redevelopment project area</x:v>
      </x:c>
      <x:c r="G74" s="15" t="d">
        <x:v>1998-02-05T00:00:00.000Z</x:v>
      </x:c>
      <x:c r="H74" s="19" t="n">
        <x:v>23</x:v>
      </x:c>
      <x:c r="I74" s="19" t="n">
        <x:v>35</x:v>
      </x:c>
      <x:c r="J74" s="19" t="n">
        <x:v>12</x:v>
      </x:c>
      <x:c r="K74" s="19" t="str">
        <x:v>c(223)</x:v>
      </x:c>
      <x:c r="L74" s="12" t="str">
        <x:v>Tax year 2024</x:v>
      </x:c>
      <x:c r="M74" s="23" t="n">
        <x:v>16790804.39</x:v>
      </x:c>
      <x:c r="N74" s="22" t="n">
        <x:f>IF(ISNUMBER(M74),M74*J74,"")</x:f>
        <x:v>201489652.68</x:v>
      </x:c>
      <x:c r="O74" s="13" t="str">
        <x:v>Not determinable from extension law / TIF receipts alone</x:v>
      </x:c>
      <x:c r="P74" s="13" t="str"/>
      <x:c r="Q74" s="12" t="str"/>
      <x:c r="R74" s="24" t="e">
        <x:f>HYPERLINK("https://www.ilga.gov/ftp/Public%20Acts/102/102-0818.htm","Signed Public Act")</x:f>
        <x:v>HYPERLINK is not implemented. linkLocation=https://www.ilga.gov/ftp/Public%20Acts/102/102-0818.htm, friendlyName=Signed Public Act</x:v>
      </x:c>
      <x:c r="S74" s="24" t="e">
        <x:f>HYPERLINK("https://legiscan.com/IL/bill/SB658/2021","Signing history")</x:f>
        <x:v>HYPERLINK is not implemented. linkLocation=https://legiscan.com/IL/bill/SB658/2021, friendlyName=Signing history</x:v>
      </x:c>
      <x:c r="T74"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74"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74" s="24" t="e">
        <x:f>HYPERLINK("https://news.wttw.com/sites/default/files/article/file-attachments/2024-tif-report.pdf#page=41","Financial source")</x:f>
        <x:v>HYPERLINK is not implemented. linkLocation=https://news.wttw.com/sites/default/files/article/file-attachments/2024-tif-report.pdf#page=41, friendlyName=Financial source</x:v>
      </x:c>
      <x:c r="W74" s="24" t="str">
        <x:v>Cook County Clerk 2024 TIF report; 03-0210-609; Chicago - Western / Ogden; PDF page 41</x:v>
      </x:c>
      <x:c r="X74" s="24" t="e">
        <x:f>HYPERLINK("https://www.ilga.gov/ftp/Public%20Acts/102/102-0818.htm","Name source")</x:f>
        <x:v>HYPERLINK is not implemented. linkLocation=https://www.ilga.gov/ftp/Public%20Acts/102/102-0818.htm, friendlyName=Name source</x:v>
      </x:c>
      <x:c r="Y74" s="1" t="n">
        <x:v>1</x:v>
      </x:c>
      <x:c r="Z74" s="1"/>
      <x:c r="AA74" s="1"/>
    </x:row>
    <x:row r="75" ht="54" customHeight="1">
      <x:c r="A75" s="12" t="n">
        <x:v>68</x:v>
      </x:c>
      <x:c r="B75" s="12" t="str">
        <x:v>SB 658</x:v>
      </x:c>
      <x:c r="C75" s="12" t="str">
        <x:v>102-0818</x:v>
      </x:c>
      <x:c r="D75" s="17" t="d">
        <x:v>2022-05-13T00:00:00.000Z</x:v>
      </x:c>
      <x:c r="E75" s="18" t="str">
        <x:v>Chicago</x:v>
      </x:c>
      <x:c r="F75" s="13" t="str">
        <x:v>24th/Michigan Avenue redevelopment project area</x:v>
      </x:c>
      <x:c r="G75" s="15" t="d">
        <x:v>1999-07-21T00:00:00.000Z</x:v>
      </x:c>
      <x:c r="H75" s="19" t="n">
        <x:v>23</x:v>
      </x:c>
      <x:c r="I75" s="19" t="n">
        <x:v>35</x:v>
      </x:c>
      <x:c r="J75" s="19" t="n">
        <x:v>12</x:v>
      </x:c>
      <x:c r="K75" s="19" t="str">
        <x:v>c(224)</x:v>
      </x:c>
      <x:c r="L75" s="12" t="str">
        <x:v>Tax year 2024</x:v>
      </x:c>
      <x:c r="M75" s="23" t="n">
        <x:v>6935331.05</x:v>
      </x:c>
      <x:c r="N75" s="22" t="n">
        <x:f>IF(ISNUMBER(M75),M75*J75,"")</x:f>
        <x:v>83223972.6</x:v>
      </x:c>
      <x:c r="O75" s="13" t="str">
        <x:v>Not determinable from extension law / TIF receipts alone</x:v>
      </x:c>
      <x:c r="P75" s="13" t="str"/>
      <x:c r="Q75" s="12" t="str"/>
      <x:c r="R75" s="24" t="e">
        <x:f>HYPERLINK("https://www.ilga.gov/ftp/Public%20Acts/102/102-0818.htm","Signed Public Act")</x:f>
        <x:v>HYPERLINK is not implemented. linkLocation=https://www.ilga.gov/ftp/Public%20Acts/102/102-0818.htm, friendlyName=Signed Public Act</x:v>
      </x:c>
      <x:c r="S75" s="24" t="e">
        <x:f>HYPERLINK("https://legiscan.com/IL/bill/SB658/2021","Signing history")</x:f>
        <x:v>HYPERLINK is not implemented. linkLocation=https://legiscan.com/IL/bill/SB658/2021, friendlyName=Signing history</x:v>
      </x:c>
      <x:c r="T75"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75"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75" s="24" t="e">
        <x:f>HYPERLINK("https://news.wttw.com/sites/default/files/article/file-attachments/2024-tif-report.pdf#page=39","Financial source")</x:f>
        <x:v>HYPERLINK is not implemented. linkLocation=https://news.wttw.com/sites/default/files/article/file-attachments/2024-tif-report.pdf#page=39, friendlyName=Financial source</x:v>
      </x:c>
      <x:c r="W75" s="24" t="str">
        <x:v>Cook County Clerk 2024 TIF report; 03-0210-502; Chicago - 24th / Michigan; PDF page 39</x:v>
      </x:c>
      <x:c r="X75" s="24" t="e">
        <x:f>HYPERLINK("https://www.ilga.gov/ftp/Public%20Acts/102/102-0818.htm","Name source")</x:f>
        <x:v>HYPERLINK is not implemented. linkLocation=https://www.ilga.gov/ftp/Public%20Acts/102/102-0818.htm, friendlyName=Name source</x:v>
      </x:c>
      <x:c r="Y75" s="1" t="n">
        <x:v>1</x:v>
      </x:c>
      <x:c r="Z75" s="1"/>
      <x:c r="AA75" s="1"/>
    </x:row>
    <x:row r="76" ht="54" customHeight="1">
      <x:c r="A76" s="12" t="n">
        <x:v>69</x:v>
      </x:c>
      <x:c r="B76" s="12" t="str">
        <x:v>SB 658</x:v>
      </x:c>
      <x:c r="C76" s="12" t="str">
        <x:v>102-0818</x:v>
      </x:c>
      <x:c r="D76" s="17" t="d">
        <x:v>2022-05-13T00:00:00.000Z</x:v>
      </x:c>
      <x:c r="E76" s="18" t="str">
        <x:v>Chicago</x:v>
      </x:c>
      <x:c r="F76" s="13" t="str">
        <x:v>Woodlawn redevelopment project area</x:v>
      </x:c>
      <x:c r="G76" s="15" t="d">
        <x:v>1999-01-20T00:00:00.000Z</x:v>
      </x:c>
      <x:c r="H76" s="19" t="n">
        <x:v>23</x:v>
      </x:c>
      <x:c r="I76" s="19" t="n">
        <x:v>35</x:v>
      </x:c>
      <x:c r="J76" s="19" t="n">
        <x:v>12</x:v>
      </x:c>
      <x:c r="K76" s="19" t="str">
        <x:v>c(225)</x:v>
      </x:c>
      <x:c r="L76" s="12" t="str">
        <x:v>Tax year 2024</x:v>
      </x:c>
      <x:c r="M76" s="23" t="n">
        <x:v>9298115.03</x:v>
      </x:c>
      <x:c r="N76" s="22" t="n">
        <x:f>IF(ISNUMBER(M76),M76*J76,"")</x:f>
        <x:v>111577380.35999998</x:v>
      </x:c>
      <x:c r="O76" s="13" t="str">
        <x:v>Not determinable from extension law / TIF receipts alone</x:v>
      </x:c>
      <x:c r="P76" s="13" t="str"/>
      <x:c r="Q76" s="12" t="str"/>
      <x:c r="R76" s="24" t="e">
        <x:f>HYPERLINK("https://www.ilga.gov/ftp/Public%20Acts/102/102-0818.htm","Signed Public Act")</x:f>
        <x:v>HYPERLINK is not implemented. linkLocation=https://www.ilga.gov/ftp/Public%20Acts/102/102-0818.htm, friendlyName=Signed Public Act</x:v>
      </x:c>
      <x:c r="S76" s="24" t="e">
        <x:f>HYPERLINK("https://legiscan.com/IL/bill/SB658/2021","Signing history")</x:f>
        <x:v>HYPERLINK is not implemented. linkLocation=https://legiscan.com/IL/bill/SB658/2021, friendlyName=Signing history</x:v>
      </x:c>
      <x:c r="T76"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76"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76" s="24" t="e">
        <x:f>HYPERLINK("https://news.wttw.com/sites/default/files/article/file-attachments/2024-tif-report.pdf#page=41","Financial source")</x:f>
        <x:v>HYPERLINK is not implemented. linkLocation=https://news.wttw.com/sites/default/files/article/file-attachments/2024-tif-report.pdf#page=41, friendlyName=Financial source</x:v>
      </x:c>
      <x:c r="W76" s="24" t="str">
        <x:v>Cook County Clerk 2024 TIF report; 03-0210-611; Chicago - Woodlawn; PDF page 41</x:v>
      </x:c>
      <x:c r="X76" s="24" t="e">
        <x:f>HYPERLINK("https://www.ilga.gov/ftp/Public%20Acts/102/102-0818.htm","Name source")</x:f>
        <x:v>HYPERLINK is not implemented. linkLocation=https://www.ilga.gov/ftp/Public%20Acts/102/102-0818.htm, friendlyName=Name source</x:v>
      </x:c>
      <x:c r="Y76" s="1" t="n">
        <x:v>1</x:v>
      </x:c>
      <x:c r="Z76" s="1"/>
      <x:c r="AA76" s="1"/>
    </x:row>
    <x:row r="77" ht="54" customHeight="1">
      <x:c r="A77" s="12" t="n">
        <x:v>70</x:v>
      </x:c>
      <x:c r="B77" s="12" t="str">
        <x:v>SB 658</x:v>
      </x:c>
      <x:c r="C77" s="12" t="str">
        <x:v>102-0818</x:v>
      </x:c>
      <x:c r="D77" s="17" t="d">
        <x:v>2022-05-13T00:00:00.000Z</x:v>
      </x:c>
      <x:c r="E77" s="18" t="str">
        <x:v>Chicago</x:v>
      </x:c>
      <x:c r="F77" s="13" t="str">
        <x:v>Clark/Montrose redevelopment project area</x:v>
      </x:c>
      <x:c r="G77" s="15" t="d">
        <x:v>1999-07-07T00:00:00.000Z</x:v>
      </x:c>
      <x:c r="H77" s="19" t="n">
        <x:v>23</x:v>
      </x:c>
      <x:c r="I77" s="19" t="n">
        <x:v>35</x:v>
      </x:c>
      <x:c r="J77" s="19" t="n">
        <x:v>12</x:v>
      </x:c>
      <x:c r="K77" s="19" t="str">
        <x:v>c(226)</x:v>
      </x:c>
      <x:c r="L77" s="12" t="str">
        <x:v>Tax year 2024</x:v>
      </x:c>
      <x:c r="M77" s="23" t="n">
        <x:v>7109598.05</x:v>
      </x:c>
      <x:c r="N77" s="22" t="n">
        <x:f>IF(ISNUMBER(M77),M77*J77,"")</x:f>
        <x:v>85315176.6</x:v>
      </x:c>
      <x:c r="O77" s="13" t="str">
        <x:v>Not determinable from extension law / TIF receipts alone</x:v>
      </x:c>
      <x:c r="P77" s="13" t="str"/>
      <x:c r="Q77" s="12" t="str"/>
      <x:c r="R77" s="24" t="e">
        <x:f>HYPERLINK("https://www.ilga.gov/ftp/Public%20Acts/102/102-0818.htm","Signed Public Act")</x:f>
        <x:v>HYPERLINK is not implemented. linkLocation=https://www.ilga.gov/ftp/Public%20Acts/102/102-0818.htm, friendlyName=Signed Public Act</x:v>
      </x:c>
      <x:c r="S77" s="24" t="e">
        <x:f>HYPERLINK("https://legiscan.com/IL/bill/SB658/2021","Signing history")</x:f>
        <x:v>HYPERLINK is not implemented. linkLocation=https://legiscan.com/IL/bill/SB658/2021, friendlyName=Signing history</x:v>
      </x:c>
      <x:c r="T77"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77"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77" s="24" t="e">
        <x:f>HYPERLINK("https://news.wttw.com/sites/default/files/article/file-attachments/2024-tif-report.pdf#page=39","Financial source")</x:f>
        <x:v>HYPERLINK is not implemented. linkLocation=https://news.wttw.com/sites/default/files/article/file-attachments/2024-tif-report.pdf#page=39, friendlyName=Financial source</x:v>
      </x:c>
      <x:c r="W77" s="24" t="str">
        <x:v>Cook County Clerk 2024 TIF report; 03-0210-539; Chicago - Clark / Montrose; PDF page 39</x:v>
      </x:c>
      <x:c r="X77" s="24" t="e">
        <x:f>HYPERLINK("https://www.ilga.gov/ftp/Public%20Acts/102/102-0818.htm","Name source")</x:f>
        <x:v>HYPERLINK is not implemented. linkLocation=https://www.ilga.gov/ftp/Public%20Acts/102/102-0818.htm, friendlyName=Name source</x:v>
      </x:c>
      <x:c r="Y77" s="1" t="n">
        <x:v>1</x:v>
      </x:c>
      <x:c r="Z77" s="1"/>
      <x:c r="AA77" s="1"/>
    </x:row>
    <x:row r="78" ht="54" customHeight="1">
      <x:c r="A78" s="12" t="n">
        <x:v>71</x:v>
      </x:c>
      <x:c r="B78" s="12" t="str">
        <x:v>SB 658</x:v>
      </x:c>
      <x:c r="C78" s="12" t="str">
        <x:v>102-0818</x:v>
      </x:c>
      <x:c r="D78" s="17" t="d">
        <x:v>2022-05-13T00:00:00.000Z</x:v>
      </x:c>
      <x:c r="E78" s="18" t="str">
        <x:v>Madison</x:v>
      </x:c>
      <x:c r="F78" s="13" t="str">
        <x:v>Rivers Edge redevelopment project area</x:v>
      </x:c>
      <x:c r="G78" s="15" t="d">
        <x:v>2003-11-04T00:00:00.000Z</x:v>
      </x:c>
      <x:c r="H78" s="19" t="n">
        <x:v>23</x:v>
      </x:c>
      <x:c r="I78" s="19" t="n">
        <x:v>35</x:v>
      </x:c>
      <x:c r="J78" s="19" t="n">
        <x:v>12</x:v>
      </x:c>
      <x:c r="K78" s="19" t="str">
        <x:v>c(227)</x:v>
      </x:c>
      <x:c r="L78" s="12" t="str">
        <x:v>Fiscal year 2025</x:v>
      </x:c>
      <x:c r="M78" s="23" t="n">
        <x:v>2195483</x:v>
      </x:c>
      <x:c r="N78" s="22" t="n">
        <x:f>IF(ISNUMBER(M78),M78*J78,"")</x:f>
        <x:v>26345796</x:v>
      </x:c>
      <x:c r="O78" s="13" t="str">
        <x:v>Not determinable from extension law / TIF receipts alone</x:v>
      </x:c>
      <x:c r="P78" s="13" t="str"/>
      <x:c r="Q78" s="12" t="str"/>
      <x:c r="R78" s="24" t="e">
        <x:f>HYPERLINK("https://www.ilga.gov/ftp/Public%20Acts/102/102-0818.htm","Signed Public Act")</x:f>
        <x:v>HYPERLINK is not implemented. linkLocation=https://www.ilga.gov/ftp/Public%20Acts/102/102-0818.htm, friendlyName=Signed Public Act</x:v>
      </x:c>
      <x:c r="S78" s="24" t="e">
        <x:f>HYPERLINK("https://legiscan.com/IL/bill/SB658/2021","Signing history")</x:f>
        <x:v>HYPERLINK is not implemented. linkLocation=https://legiscan.com/IL/bill/SB658/2021, friendlyName=Signing history</x:v>
      </x:c>
      <x:c r="T78" s="24" t="e">
        <x:f>HYPERLINK("https://files.illinoiscomptroller.gov/LocGovTIF/FY2025/05707530/25TIF05707530Rivers_Edge_1.pdf","TIF annual reporting")</x:f>
        <x:v>HYPERLINK is not implemented. linkLocation=https://files.illinoiscomptroller.gov/LocGovTIF/FY2025/05707530/25TIF05707530Rivers_Edge_1.pdf, friendlyName=TIF annual reporting</x:v>
      </x:c>
      <x:c r="U78" s="24" t="e">
        <x:f>HYPERLINK("https://illinoiscomptroller.gov/constituent-services/local-government/local-government-warehouse/landingpage?code=057%2F075%2F30","Municipal report index")</x:f>
        <x:v>HYPERLINK is not implemented. linkLocation=https://illinoiscomptroller.gov/constituent-services/local-government/local-government-warehouse/landingpage?code=057%2F075%2F30, friendlyName=Municipal report index</x:v>
      </x:c>
      <x:c r="V78" s="24" t="e">
        <x:f>HYPERLINK("https://files.illinoiscomptroller.gov/LocGovTIF/FY2025/05707530/25TIF05707530Rivers_Edge_1.pdf#page=3","Financial source")</x:f>
        <x:v>HYPERLINK is not implemented. linkLocation=https://files.illinoiscomptroller.gov/LocGovTIF/FY2025/05707530/25TIF05707530Rivers_Edge_1.pdf#page=3, friendlyName=Financial source</x:v>
      </x:c>
      <x:c r="W78" s="24" t="str">
        <x:v>Municipal TIF annual report, section 3.1, current-year Property Tax Increment. FY 2025</x:v>
      </x:c>
      <x:c r="X78" s="24" t="e">
        <x:f>HYPERLINK("https://www.ilga.gov/ftp/Public%20Acts/102/102-0818.htm","Name source")</x:f>
        <x:v>HYPERLINK is not implemented. linkLocation=https://www.ilga.gov/ftp/Public%20Acts/102/102-0818.htm, friendlyName=Name source</x:v>
      </x:c>
      <x:c r="Y78" s="1" t="n">
        <x:v>1</x:v>
      </x:c>
      <x:c r="Z78" s="1"/>
      <x:c r="AA78" s="1"/>
    </x:row>
    <x:row r="79" ht="54" customHeight="1">
      <x:c r="A79" s="12" t="n">
        <x:v>72</x:v>
      </x:c>
      <x:c r="B79" s="12" t="str">
        <x:v>SB 658</x:v>
      </x:c>
      <x:c r="C79" s="12" t="str">
        <x:v>102-0818</x:v>
      </x:c>
      <x:c r="D79" s="17" t="d">
        <x:v>2022-05-13T00:00:00.000Z</x:v>
      </x:c>
      <x:c r="E79" s="18" t="str">
        <x:v>Madison</x:v>
      </x:c>
      <x:c r="F79" s="13" t="str">
        <x:v>Caine Street redevelopment project area</x:v>
      </x:c>
      <x:c r="G79" s="15" t="d">
        <x:v>2003-08-12T00:00:00.000Z</x:v>
      </x:c>
      <x:c r="H79" s="19" t="n">
        <x:v>23</x:v>
      </x:c>
      <x:c r="I79" s="19" t="n">
        <x:v>35</x:v>
      </x:c>
      <x:c r="J79" s="19" t="n">
        <x:v>12</x:v>
      </x:c>
      <x:c r="K79" s="19" t="str">
        <x:v>c(228)</x:v>
      </x:c>
      <x:c r="L79" s="12" t="str">
        <x:v>Fiscal year 2024</x:v>
      </x:c>
      <x:c r="M79" s="23" t="n">
        <x:v>72441</x:v>
      </x:c>
      <x:c r="N79" s="22" t="n">
        <x:f>IF(ISNUMBER(M79),M79*J79,"")</x:f>
        <x:v>869292</x:v>
      </x:c>
      <x:c r="O79" s="13" t="str">
        <x:v>Not determinable from extension law / TIF receipts alone</x:v>
      </x:c>
      <x:c r="P79" s="13" t="str"/>
      <x:c r="Q79" s="12" t="str"/>
      <x:c r="R79" s="24" t="e">
        <x:f>HYPERLINK("https://www.ilga.gov/ftp/Public%20Acts/102/102-0818.htm","Signed Public Act")</x:f>
        <x:v>HYPERLINK is not implemented. linkLocation=https://www.ilga.gov/ftp/Public%20Acts/102/102-0818.htm, friendlyName=Signed Public Act</x:v>
      </x:c>
      <x:c r="S79" s="24" t="e">
        <x:f>HYPERLINK("https://legiscan.com/IL/bill/SB658/2021","Signing history")</x:f>
        <x:v>HYPERLINK is not implemented. linkLocation=https://legiscan.com/IL/bill/SB658/2021, friendlyName=Signing history</x:v>
      </x:c>
      <x:c r="T79" s="24" t="e">
        <x:f>HYPERLINK("https://files.illinoiscomptroller.gov/LocGovTIF/FY2024/05707530/24TIF05707530Caine_Street_1.pdf","TIF annual reporting")</x:f>
        <x:v>HYPERLINK is not implemented. linkLocation=https://files.illinoiscomptroller.gov/LocGovTIF/FY2024/05707530/24TIF05707530Caine_Street_1.pdf, friendlyName=TIF annual reporting</x:v>
      </x:c>
      <x:c r="U79" s="24" t="e">
        <x:f>HYPERLINK("https://illinoiscomptroller.gov/constituent-services/local-government/local-government-warehouse/landingpage?code=057%2F075%2F30","Municipal report index")</x:f>
        <x:v>HYPERLINK is not implemented. linkLocation=https://illinoiscomptroller.gov/constituent-services/local-government/local-government-warehouse/landingpage?code=057%2F075%2F30, friendlyName=Municipal report index</x:v>
      </x:c>
      <x:c r="V79" s="24" t="e">
        <x:f>HYPERLINK("https://files.illinoiscomptroller.gov/LocGovTIF/FY2024/05707530/24TIF05707530Caine_Street_1.pdf#page=3","Financial source")</x:f>
        <x:v>HYPERLINK is not implemented. linkLocation=https://files.illinoiscomptroller.gov/LocGovTIF/FY2024/05707530/24TIF05707530Caine_Street_1.pdf#page=3, friendlyName=Financial source</x:v>
      </x:c>
      <x:c r="W79" s="24" t="str">
        <x:v>Municipal TIF annual report, section 3.1, current-year Property Tax Increment. FY 2024</x:v>
      </x:c>
      <x:c r="X79" s="24" t="e">
        <x:f>HYPERLINK("https://www.ilga.gov/ftp/Public%20Acts/102/102-0818.htm","Name source")</x:f>
        <x:v>HYPERLINK is not implemented. linkLocation=https://www.ilga.gov/ftp/Public%20Acts/102/102-0818.htm, friendlyName=Name source</x:v>
      </x:c>
      <x:c r="Y79" s="1" t="n">
        <x:v>1</x:v>
      </x:c>
      <x:c r="Z79" s="1"/>
      <x:c r="AA79" s="1"/>
    </x:row>
    <x:row r="80" ht="54" customHeight="1">
      <x:c r="A80" s="12" t="n">
        <x:v>73</x:v>
      </x:c>
      <x:c r="B80" s="12" t="str">
        <x:v>SB 658</x:v>
      </x:c>
      <x:c r="C80" s="12" t="str">
        <x:v>102-0818</x:v>
      </x:c>
      <x:c r="D80" s="17" t="d">
        <x:v>2022-05-13T00:00:00.000Z</x:v>
      </x:c>
      <x:c r="E80" s="18" t="str">
        <x:v>Madison</x:v>
      </x:c>
      <x:c r="F80" s="13" t="str">
        <x:v>East Madison TIF</x:v>
      </x:c>
      <x:c r="G80" s="15" t="d">
        <x:v>2000-03-07T00:00:00.000Z</x:v>
      </x:c>
      <x:c r="H80" s="19" t="n">
        <x:v>23</x:v>
      </x:c>
      <x:c r="I80" s="19" t="n">
        <x:v>35</x:v>
      </x:c>
      <x:c r="J80" s="19" t="n">
        <x:v>12</x:v>
      </x:c>
      <x:c r="K80" s="19" t="str">
        <x:v>c(229)</x:v>
      </x:c>
      <x:c r="L80" s="12" t="str">
        <x:v>Fiscal year 2025</x:v>
      </x:c>
      <x:c r="M80" s="23" t="n">
        <x:v>241299</x:v>
      </x:c>
      <x:c r="N80" s="22" t="n">
        <x:f>IF(ISNUMBER(M80),M80*J80,"")</x:f>
        <x:v>2895588</x:v>
      </x:c>
      <x:c r="O80" s="13" t="str">
        <x:v>Not determinable from extension law / TIF receipts alone</x:v>
      </x:c>
      <x:c r="P80" s="13" t="str"/>
      <x:c r="Q80" s="12" t="str"/>
      <x:c r="R80" s="24" t="e">
        <x:f>HYPERLINK("https://www.ilga.gov/ftp/Public%20Acts/102/102-0818.htm","Signed Public Act")</x:f>
        <x:v>HYPERLINK is not implemented. linkLocation=https://www.ilga.gov/ftp/Public%20Acts/102/102-0818.htm, friendlyName=Signed Public Act</x:v>
      </x:c>
      <x:c r="S80" s="24" t="e">
        <x:f>HYPERLINK("https://legiscan.com/IL/bill/SB658/2021","Signing history")</x:f>
        <x:v>HYPERLINK is not implemented. linkLocation=https://legiscan.com/IL/bill/SB658/2021, friendlyName=Signing history</x:v>
      </x:c>
      <x:c r="T80" s="24" t="e">
        <x:f>HYPERLINK("https://files.illinoiscomptroller.gov/LocGovTIF/FY2025/05707530/25TIF05707530East_Madison_TIF_1.pdf","TIF annual reporting")</x:f>
        <x:v>HYPERLINK is not implemented. linkLocation=https://files.illinoiscomptroller.gov/LocGovTIF/FY2025/05707530/25TIF05707530East_Madison_TIF_1.pdf, friendlyName=TIF annual reporting</x:v>
      </x:c>
      <x:c r="U80" s="24" t="e">
        <x:f>HYPERLINK("https://illinoiscomptroller.gov/constituent-services/local-government/local-government-warehouse/landingpage?code=057%2F075%2F30","Municipal report index")</x:f>
        <x:v>HYPERLINK is not implemented. linkLocation=https://illinoiscomptroller.gov/constituent-services/local-government/local-government-warehouse/landingpage?code=057%2F075%2F30, friendlyName=Municipal report index</x:v>
      </x:c>
      <x:c r="V80" s="24" t="e">
        <x:f>HYPERLINK("https://files.illinoiscomptroller.gov/LocGovTIF/FY2025/05707530/25TIF05707530East_Madison_TIF_1.pdf#page=3","Financial source")</x:f>
        <x:v>HYPERLINK is not implemented. linkLocation=https://files.illinoiscomptroller.gov/LocGovTIF/FY2025/05707530/25TIF05707530East_Madison_TIF_1.pdf#page=3, friendlyName=Financial source</x:v>
      </x:c>
      <x:c r="W80" s="24" t="str">
        <x:v>Municipal TIF annual report, section 3.1, current-year Property Tax Increment. FY 2025</x:v>
      </x:c>
      <x:c r="X80" s="24" t="e">
        <x:f>HYPERLINK("https://www.ilga.gov/ftp/Public%20Acts/102/102-0818.htm","Name source")</x:f>
        <x:v>HYPERLINK is not implemented. linkLocation=https://www.ilga.gov/ftp/Public%20Acts/102/102-0818.htm, friendlyName=Name source</x:v>
      </x:c>
      <x:c r="Y80" s="1" t="n">
        <x:v>1</x:v>
      </x:c>
      <x:c r="Z80" s="1"/>
      <x:c r="AA80" s="1"/>
    </x:row>
    <x:row r="81" ht="54" customHeight="1">
      <x:c r="A81" s="12" t="n">
        <x:v>74</x:v>
      </x:c>
      <x:c r="B81" s="12" t="str">
        <x:v>SB 658</x:v>
      </x:c>
      <x:c r="C81" s="12" t="str">
        <x:v>102-0818</x:v>
      </x:c>
      <x:c r="D81" s="17" t="d">
        <x:v>2022-05-13T00:00:00.000Z</x:v>
      </x:c>
      <x:c r="E81" s="18" t="str">
        <x:v>Aviston</x:v>
      </x:c>
      <x:c r="F81" s="13" t="str">
        <x:v>TIF 1</x:v>
      </x:c>
      <x:c r="G81" s="15" t="d">
        <x:v>2001-08-03T00:00:00.000Z</x:v>
      </x:c>
      <x:c r="H81" s="19" t="n">
        <x:v>23</x:v>
      </x:c>
      <x:c r="I81" s="19" t="n">
        <x:v>35</x:v>
      </x:c>
      <x:c r="J81" s="19" t="n">
        <x:v>12</x:v>
      </x:c>
      <x:c r="K81" s="19" t="str">
        <x:v>c(230)</x:v>
      </x:c>
      <x:c r="L81" s="12" t="str">
        <x:v>Fiscal year 2025</x:v>
      </x:c>
      <x:c r="M81" s="23" t="n">
        <x:v>170013</x:v>
      </x:c>
      <x:c r="N81" s="22" t="n">
        <x:f>IF(ISNUMBER(M81),M81*J81,"")</x:f>
        <x:v>2040156</x:v>
      </x:c>
      <x:c r="O81" s="13" t="str">
        <x:v>Not determinable from extension law / TIF receipts alone</x:v>
      </x:c>
      <x:c r="P81" s="25" t="str">
        <x:v>Act date Aug. 3, 2001; annual report states Aug. 30, 2001. Financial match is provisional because of the date discrepancy.</x:v>
      </x:c>
      <x:c r="Q81" s="12" t="str"/>
      <x:c r="R81" s="24" t="e">
        <x:f>HYPERLINK("https://www.ilga.gov/ftp/Public%20Acts/102/102-0818.htm","Signed Public Act")</x:f>
        <x:v>HYPERLINK is not implemented. linkLocation=https://www.ilga.gov/ftp/Public%20Acts/102/102-0818.htm, friendlyName=Signed Public Act</x:v>
      </x:c>
      <x:c r="S81" s="24" t="e">
        <x:f>HYPERLINK("https://legiscan.com/IL/bill/SB658/2021","Signing history")</x:f>
        <x:v>HYPERLINK is not implemented. linkLocation=https://legiscan.com/IL/bill/SB658/2021, friendlyName=Signing history</x:v>
      </x:c>
      <x:c r="T81" s="24" t="e">
        <x:f>HYPERLINK("https://files.illinoiscomptroller.gov/LocGovTIF/FY2025/01401532/25TIF01401532TIF_1_1.pdf","TIF annual reporting")</x:f>
        <x:v>HYPERLINK is not implemented. linkLocation=https://files.illinoiscomptroller.gov/LocGovTIF/FY2025/01401532/25TIF01401532TIF_1_1.pdf, friendlyName=TIF annual reporting</x:v>
      </x:c>
      <x:c r="U81" s="24" t="e">
        <x:f>HYPERLINK("https://illinoiscomptroller.gov/constituent-services/local-government/local-government-warehouse/landingpage?code=014%2F015%2F32","Municipal report index")</x:f>
        <x:v>HYPERLINK is not implemented. linkLocation=https://illinoiscomptroller.gov/constituent-services/local-government/local-government-warehouse/landingpage?code=014%2F015%2F32, friendlyName=Municipal report index</x:v>
      </x:c>
      <x:c r="V81" s="24" t="e">
        <x:f>HYPERLINK("https://files.illinoiscomptroller.gov/LocGovTIF/FY2025/01401532/25TIF01401532TIF_1_1.pdf#page=3","Financial source")</x:f>
        <x:v>HYPERLINK is not implemented. linkLocation=https://files.illinoiscomptroller.gov/LocGovTIF/FY2025/01401532/25TIF01401532TIF_1_1.pdf#page=3, friendlyName=Financial source</x:v>
      </x:c>
      <x:c r="W81" s="24" t="str">
        <x:v>Municipal TIF annual report, section 3.1, current-year Property Tax Increment. FY 2025</x:v>
      </x:c>
      <x:c r="X81" s="24" t="e">
        <x:f>HYPERLINK("https://files.illinoiscomptroller.gov/LocGovTIF/FY2025/01401532/25TIF01401532TIF_1_1.pdf","Name source")</x:f>
        <x:v>HYPERLINK is not implemented. linkLocation=https://files.illinoiscomptroller.gov/LocGovTIF/FY2025/01401532/25TIF01401532TIF_1_1.pdf, friendlyName=Name source</x:v>
      </x:c>
      <x:c r="Y81" s="1" t="n">
        <x:v>1</x:v>
      </x:c>
      <x:c r="Z81" s="1"/>
      <x:c r="AA81" s="1"/>
    </x:row>
    <x:row r="82" ht="54" customHeight="1">
      <x:c r="A82" s="12" t="n">
        <x:v>75</x:v>
      </x:c>
      <x:c r="B82" s="12" t="str">
        <x:v>SB 658</x:v>
      </x:c>
      <x:c r="C82" s="12" t="str">
        <x:v>102-0818</x:v>
      </x:c>
      <x:c r="D82" s="17" t="d">
        <x:v>2022-05-13T00:00:00.000Z</x:v>
      </x:c>
      <x:c r="E82" s="18" t="str">
        <x:v>Warren</x:v>
      </x:c>
      <x:c r="F82" s="13" t="str">
        <x:v>US route 78 and Downtown Warren</x:v>
      </x:c>
      <x:c r="G82" s="15" t="d">
        <x:v>2011-08-22T00:00:00.000Z</x:v>
      </x:c>
      <x:c r="H82" s="19" t="n">
        <x:v>23</x:v>
      </x:c>
      <x:c r="I82" s="19" t="n">
        <x:v>35</x:v>
      </x:c>
      <x:c r="J82" s="19" t="n">
        <x:v>12</x:v>
      </x:c>
      <x:c r="K82" s="19" t="str">
        <x:v>c(231)</x:v>
      </x:c>
      <x:c r="L82" s="12" t="str">
        <x:v>Fiscal year 2025</x:v>
      </x:c>
      <x:c r="M82" s="23" t="n">
        <x:v>118333</x:v>
      </x:c>
      <x:c r="N82" s="22" t="n">
        <x:f>IF(ISNUMBER(M82),M82*J82,"")</x:f>
        <x:v>1419996</x:v>
      </x:c>
      <x:c r="O82" s="13" t="str">
        <x:v>Not determinable from extension law / TIF receipts alone</x:v>
      </x:c>
      <x:c r="P82" s="13" t="str"/>
      <x:c r="Q82" s="12" t="str"/>
      <x:c r="R82" s="24" t="e">
        <x:f>HYPERLINK("https://www.ilga.gov/ftp/Public%20Acts/102/102-0818.htm","Signed Public Act")</x:f>
        <x:v>HYPERLINK is not implemented. linkLocation=https://www.ilga.gov/ftp/Public%20Acts/102/102-0818.htm, friendlyName=Signed Public Act</x:v>
      </x:c>
      <x:c r="S82" s="24" t="e">
        <x:f>HYPERLINK("https://legiscan.com/IL/bill/SB658/2021","Signing history")</x:f>
        <x:v>HYPERLINK is not implemented. linkLocation=https://legiscan.com/IL/bill/SB658/2021, friendlyName=Signing history</x:v>
      </x:c>
      <x:c r="T82" s="24" t="e">
        <x:f>HYPERLINK("https://files.illinoiscomptroller.gov/LocGovTIF/FY2025/04305532/25TIF04305532US_route_n_Warren_1.pdf","TIF annual reporting")</x:f>
        <x:v>HYPERLINK is not implemented. linkLocation=https://files.illinoiscomptroller.gov/LocGovTIF/FY2025/04305532/25TIF04305532US_route_n_Warren_1.pdf, friendlyName=TIF annual reporting</x:v>
      </x:c>
      <x:c r="U82" s="24" t="e">
        <x:f>HYPERLINK("https://illinoiscomptroller.gov/constituent-services/local-government/local-government-warehouse/landingpage?code=043%2F055%2F32","Municipal report index")</x:f>
        <x:v>HYPERLINK is not implemented. linkLocation=https://illinoiscomptroller.gov/constituent-services/local-government/local-government-warehouse/landingpage?code=043%2F055%2F32, friendlyName=Municipal report index</x:v>
      </x:c>
      <x:c r="V82" s="24" t="e">
        <x:f>HYPERLINK("https://files.illinoiscomptroller.gov/LocGovTIF/FY2025/04305532/25TIF04305532US_route_n_Warren_1.pdf#page=3","Financial source")</x:f>
        <x:v>HYPERLINK is not implemented. linkLocation=https://files.illinoiscomptroller.gov/LocGovTIF/FY2025/04305532/25TIF04305532US_route_n_Warren_1.pdf#page=3, friendlyName=Financial source</x:v>
      </x:c>
      <x:c r="W82" s="24" t="str">
        <x:v>Municipal TIF annual report, section 3.1, current-year Property Tax Increment. FY 2025</x:v>
      </x:c>
      <x:c r="X82" s="24" t="e">
        <x:f>HYPERLINK("https://files.illinoiscomptroller.gov/LocGovTIF/FY2025/04305532/25TIF04305532US_route_n_Warren_1.pdf","Name source")</x:f>
        <x:v>HYPERLINK is not implemented. linkLocation=https://files.illinoiscomptroller.gov/LocGovTIF/FY2025/04305532/25TIF04305532US_route_n_Warren_1.pdf, friendlyName=Name source</x:v>
      </x:c>
      <x:c r="Y82" s="1" t="n">
        <x:v>1</x:v>
      </x:c>
      <x:c r="Z82" s="1"/>
      <x:c r="AA82" s="1"/>
    </x:row>
    <x:row r="83" ht="54" customHeight="1">
      <x:c r="A83" s="12" t="n">
        <x:v>76</x:v>
      </x:c>
      <x:c r="B83" s="12" t="str">
        <x:v>SB 658</x:v>
      </x:c>
      <x:c r="C83" s="12" t="str">
        <x:v>102-0818</x:v>
      </x:c>
      <x:c r="D83" s="17" t="d">
        <x:v>2022-05-13T00:00:00.000Z</x:v>
      </x:c>
      <x:c r="E83" s="18" t="str">
        <x:v>Farmer City</x:v>
      </x:c>
      <x:c r="F83" s="13" t="str">
        <x:v>SW RPA (TIF II)</x:v>
      </x:c>
      <x:c r="G83" s="15" t="d">
        <x:v>1999-04-08T00:00:00.000Z</x:v>
      </x:c>
      <x:c r="H83" s="19" t="n">
        <x:v>23</x:v>
      </x:c>
      <x:c r="I83" s="19" t="n">
        <x:v>35</x:v>
      </x:c>
      <x:c r="J83" s="19" t="n">
        <x:v>12</x:v>
      </x:c>
      <x:c r="K83" s="19" t="str">
        <x:v>c(232)</x:v>
      </x:c>
      <x:c r="L83" s="12" t="str">
        <x:v>Fiscal year 2025</x:v>
      </x:c>
      <x:c r="M83" s="23" t="n">
        <x:v>470354</x:v>
      </x:c>
      <x:c r="N83" s="22" t="n">
        <x:f>IF(ISNUMBER(M83),M83*J83,"")</x:f>
        <x:v>5644248</x:v>
      </x:c>
      <x:c r="O83" s="13" t="str">
        <x:v>Not determinable from extension law / TIF receipts alone</x:v>
      </x:c>
      <x:c r="P83" s="13" t="str"/>
      <x:c r="Q83" s="12" t="str"/>
      <x:c r="R83" s="24" t="e">
        <x:f>HYPERLINK("https://www.ilga.gov/ftp/Public%20Acts/102/102-0818.htm","Signed Public Act")</x:f>
        <x:v>HYPERLINK is not implemented. linkLocation=https://www.ilga.gov/ftp/Public%20Acts/102/102-0818.htm, friendlyName=Signed Public Act</x:v>
      </x:c>
      <x:c r="S83" s="24" t="e">
        <x:f>HYPERLINK("https://legiscan.com/IL/bill/SB658/2021","Signing history")</x:f>
        <x:v>HYPERLINK is not implemented. linkLocation=https://legiscan.com/IL/bill/SB658/2021, friendlyName=Signing history</x:v>
      </x:c>
      <x:c r="T83" s="24" t="e">
        <x:f>HYPERLINK("https://files.illinoiscomptroller.gov/LocGovTIF/FY2025/02002030/25TIF02002030SW_RPA__TIF_II__1.pdf","TIF annual reporting")</x:f>
        <x:v>HYPERLINK is not implemented. linkLocation=https://files.illinoiscomptroller.gov/LocGovTIF/FY2025/02002030/25TIF02002030SW_RPA__TIF_II__1.pdf, friendlyName=TIF annual reporting</x:v>
      </x:c>
      <x:c r="U83" s="24" t="e">
        <x:f>HYPERLINK("https://illinoiscomptroller.gov/constituent-services/local-government/local-government-warehouse/landingpage?code=020%2F020%2F30","Municipal report index")</x:f>
        <x:v>HYPERLINK is not implemented. linkLocation=https://illinoiscomptroller.gov/constituent-services/local-government/local-government-warehouse/landingpage?code=020%2F020%2F30, friendlyName=Municipal report index</x:v>
      </x:c>
      <x:c r="V83" s="24" t="e">
        <x:f>HYPERLINK("https://files.illinoiscomptroller.gov/LocGovTIF/FY2025/02002030/25TIF02002030SW_RPA__TIF_II__1.pdf#page=3","Financial source")</x:f>
        <x:v>HYPERLINK is not implemented. linkLocation=https://files.illinoiscomptroller.gov/LocGovTIF/FY2025/02002030/25TIF02002030SW_RPA__TIF_II__1.pdf#page=3, friendlyName=Financial source</x:v>
      </x:c>
      <x:c r="W83" s="24" t="str">
        <x:v>Municipal TIF annual report, section 3.1, current-year Property Tax Increment. FY 2025</x:v>
      </x:c>
      <x:c r="X83" s="24" t="e">
        <x:f>HYPERLINK("https://files.illinoiscomptroller.gov/LocGovTIF/FY2025/02002030/25TIF02002030SW_RPA__TIF_II__1.pdf","Name source")</x:f>
        <x:v>HYPERLINK is not implemented. linkLocation=https://files.illinoiscomptroller.gov/LocGovTIF/FY2025/02002030/25TIF02002030SW_RPA__TIF_II__1.pdf, friendlyName=Name source</x:v>
      </x:c>
      <x:c r="Y83" s="1" t="n">
        <x:v>1</x:v>
      </x:c>
      <x:c r="Z83" s="1"/>
      <x:c r="AA83" s="1"/>
    </x:row>
    <x:row r="84" ht="54" customHeight="1">
      <x:c r="A84" s="12" t="n">
        <x:v>77</x:v>
      </x:c>
      <x:c r="B84" s="12" t="str">
        <x:v>SB 658</x:v>
      </x:c>
      <x:c r="C84" s="12" t="str">
        <x:v>102-0818</x:v>
      </x:c>
      <x:c r="D84" s="17" t="d">
        <x:v>2022-05-13T00:00:00.000Z</x:v>
      </x:c>
      <x:c r="E84" s="18" t="str">
        <x:v>Fairmont City</x:v>
      </x:c>
      <x:c r="F84" s="13" t="str">
        <x:v>TIF 1</x:v>
      </x:c>
      <x:c r="G84" s="15" t="d">
        <x:v>1999-08-04T00:00:00.000Z</x:v>
      </x:c>
      <x:c r="H84" s="19" t="n">
        <x:v>23</x:v>
      </x:c>
      <x:c r="I84" s="19" t="n">
        <x:v>35</x:v>
      </x:c>
      <x:c r="J84" s="19" t="n">
        <x:v>12</x:v>
      </x:c>
      <x:c r="K84" s="19" t="str">
        <x:v>c(233)</x:v>
      </x:c>
      <x:c r="L84" s="12" t="str">
        <x:v>Fiscal year 2025</x:v>
      </x:c>
      <x:c r="M84" s="23" t="n">
        <x:v>446414</x:v>
      </x:c>
      <x:c r="N84" s="22" t="n">
        <x:f>IF(ISNUMBER(M84),M84*J84,"")</x:f>
        <x:v>5356968</x:v>
      </x:c>
      <x:c r="O84" s="13" t="str">
        <x:v>Not determinable from extension law / TIF receipts alone</x:v>
      </x:c>
      <x:c r="P84" s="13" t="str"/>
      <x:c r="Q84" s="12" t="str"/>
      <x:c r="R84" s="24" t="e">
        <x:f>HYPERLINK("https://www.ilga.gov/ftp/Public%20Acts/102/102-0818.htm","Signed Public Act")</x:f>
        <x:v>HYPERLINK is not implemented. linkLocation=https://www.ilga.gov/ftp/Public%20Acts/102/102-0818.htm, friendlyName=Signed Public Act</x:v>
      </x:c>
      <x:c r="S84" s="24" t="e">
        <x:f>HYPERLINK("https://legiscan.com/IL/bill/SB658/2021","Signing history")</x:f>
        <x:v>HYPERLINK is not implemented. linkLocation=https://legiscan.com/IL/bill/SB658/2021, friendlyName=Signing history</x:v>
      </x:c>
      <x:c r="T84" s="24" t="e">
        <x:f>HYPERLINK("https://files.illinoiscomptroller.gov/LocGovTIF/FY2025/08805532/25TIF08805532TIF_1_1.pdf","TIF annual reporting")</x:f>
        <x:v>HYPERLINK is not implemented. linkLocation=https://files.illinoiscomptroller.gov/LocGovTIF/FY2025/08805532/25TIF08805532TIF_1_1.pdf, friendlyName=TIF annual reporting</x:v>
      </x:c>
      <x:c r="U84" s="24" t="e">
        <x:f>HYPERLINK("https://illinoiscomptroller.gov/constituent-services/local-government/local-government-warehouse/landingpage?code=088%2F055%2F32","Municipal report index")</x:f>
        <x:v>HYPERLINK is not implemented. linkLocation=https://illinoiscomptroller.gov/constituent-services/local-government/local-government-warehouse/landingpage?code=088%2F055%2F32, friendlyName=Municipal report index</x:v>
      </x:c>
      <x:c r="V84" s="24" t="e">
        <x:f>HYPERLINK("https://files.illinoiscomptroller.gov/LocGovTIF/FY2025/08805532/25TIF08805532TIF_1_1.pdf#page=3","Financial source")</x:f>
        <x:v>HYPERLINK is not implemented. linkLocation=https://files.illinoiscomptroller.gov/LocGovTIF/FY2025/08805532/25TIF08805532TIF_1_1.pdf#page=3, friendlyName=Financial source</x:v>
      </x:c>
      <x:c r="W84" s="24" t="str">
        <x:v>Municipal TIF annual report, section 3.1, current-year Property Tax Increment. FY 2025</x:v>
      </x:c>
      <x:c r="X84" s="24" t="e">
        <x:f>HYPERLINK("https://files.illinoiscomptroller.gov/LocGovTIF/FY2025/08805532/25TIF08805532TIF_1_1.pdf","Name source")</x:f>
        <x:v>HYPERLINK is not implemented. linkLocation=https://files.illinoiscomptroller.gov/LocGovTIF/FY2025/08805532/25TIF08805532TIF_1_1.pdf, friendlyName=Name source</x:v>
      </x:c>
      <x:c r="Y84" s="1" t="n">
        <x:v>1</x:v>
      </x:c>
      <x:c r="Z84" s="1"/>
      <x:c r="AA84" s="1"/>
    </x:row>
    <x:row r="85" ht="54" customHeight="1">
      <x:c r="A85" s="12" t="n">
        <x:v>78</x:v>
      </x:c>
      <x:c r="B85" s="12" t="str">
        <x:v>SB 658</x:v>
      </x:c>
      <x:c r="C85" s="12" t="str">
        <x:v>102-0818</x:v>
      </x:c>
      <x:c r="D85" s="17" t="d">
        <x:v>2022-05-13T00:00:00.000Z</x:v>
      </x:c>
      <x:c r="E85" s="18" t="str">
        <x:v>Fairmont City</x:v>
      </x:c>
      <x:c r="F85" s="13" t="str">
        <x:v>TIF 2 [Gateway to the River]</x:v>
      </x:c>
      <x:c r="G85" s="15" t="d">
        <x:v>1999-10-02T00:00:00.000Z</x:v>
      </x:c>
      <x:c r="H85" s="19" t="n">
        <x:v>23</x:v>
      </x:c>
      <x:c r="I85" s="19" t="n">
        <x:v>35</x:v>
      </x:c>
      <x:c r="J85" s="19" t="n">
        <x:v>12</x:v>
      </x:c>
      <x:c r="K85" s="19" t="str">
        <x:v>c(234)</x:v>
      </x:c>
      <x:c r="L85" s="12" t="str">
        <x:v>Fiscal year 2025</x:v>
      </x:c>
      <x:c r="M85" s="23" t="n">
        <x:v>577317</x:v>
      </x:c>
      <x:c r="N85" s="22" t="n">
        <x:f>IF(ISNUMBER(M85),M85*J85,"")</x:f>
        <x:v>6927804</x:v>
      </x:c>
      <x:c r="O85" s="13" t="str">
        <x:v>Not determinable from extension law / TIF receipts alone</x:v>
      </x:c>
      <x:c r="P85" s="25" t="str">
        <x:v>Act date Oct. 2, 1999; annual report states Oct. 20, 1999. Financial match is provisional because of the date discrepancy.</x:v>
      </x:c>
      <x:c r="Q85" s="12" t="str"/>
      <x:c r="R85" s="24" t="e">
        <x:f>HYPERLINK("https://www.ilga.gov/ftp/Public%20Acts/102/102-0818.htm","Signed Public Act")</x:f>
        <x:v>HYPERLINK is not implemented. linkLocation=https://www.ilga.gov/ftp/Public%20Acts/102/102-0818.htm, friendlyName=Signed Public Act</x:v>
      </x:c>
      <x:c r="S85" s="24" t="e">
        <x:f>HYPERLINK("https://legiscan.com/IL/bill/SB658/2021","Signing history")</x:f>
        <x:v>HYPERLINK is not implemented. linkLocation=https://legiscan.com/IL/bill/SB658/2021, friendlyName=Signing history</x:v>
      </x:c>
      <x:c r="T85" s="24" t="e">
        <x:f>HYPERLINK("https://files.illinoiscomptroller.gov/LocGovTIF/FY2025/08805532/25TIF08805532TIF_2_[Gae_River]_1.pdf","TIF annual reporting")</x:f>
        <x:v>HYPERLINK is not implemented. linkLocation=https://files.illinoiscomptroller.gov/LocGovTIF/FY2025/08805532/25TIF08805532TIF_2_[Gae_River]_1.pdf, friendlyName=TIF annual reporting</x:v>
      </x:c>
      <x:c r="U85" s="24" t="e">
        <x:f>HYPERLINK("https://illinoiscomptroller.gov/constituent-services/local-government/local-government-warehouse/landingpage?code=088%2F055%2F32","Municipal report index")</x:f>
        <x:v>HYPERLINK is not implemented. linkLocation=https://illinoiscomptroller.gov/constituent-services/local-government/local-government-warehouse/landingpage?code=088%2F055%2F32, friendlyName=Municipal report index</x:v>
      </x:c>
      <x:c r="V85" s="24" t="e">
        <x:f>HYPERLINK("https://files.illinoiscomptroller.gov/LocGovTIF/FY2025/08805532/25TIF08805532TIF_2_[Gae_River]_1.pdf#page=3","Financial source")</x:f>
        <x:v>HYPERLINK is not implemented. linkLocation=https://files.illinoiscomptroller.gov/LocGovTIF/FY2025/08805532/25TIF08805532TIF_2_[Gae_River]_1.pdf#page=3, friendlyName=Financial source</x:v>
      </x:c>
      <x:c r="W85" s="24" t="str">
        <x:v>Municipal TIF annual report, section 3.1, current-year Property Tax Increment. FY 2025</x:v>
      </x:c>
      <x:c r="X85" s="24" t="e">
        <x:f>HYPERLINK("https://files.illinoiscomptroller.gov/LocGovTIF/FY2025/08805532/25TIF08805532TIF_2_[Gae_River]_1.pdf","Name source")</x:f>
        <x:v>HYPERLINK is not implemented. linkLocation=https://files.illinoiscomptroller.gov/LocGovTIF/FY2025/08805532/25TIF08805532TIF_2_[Gae_River]_1.pdf, friendlyName=Name source</x:v>
      </x:c>
      <x:c r="Y85" s="1" t="n">
        <x:v>1</x:v>
      </x:c>
      <x:c r="Z85" s="1"/>
      <x:c r="AA85" s="1"/>
    </x:row>
    <x:row r="86" ht="54" customHeight="1">
      <x:c r="A86" s="12" t="n">
        <x:v>79</x:v>
      </x:c>
      <x:c r="B86" s="12" t="str">
        <x:v>SB 658</x:v>
      </x:c>
      <x:c r="C86" s="12" t="str">
        <x:v>102-0818</x:v>
      </x:c>
      <x:c r="D86" s="17" t="d">
        <x:v>2022-05-13T00:00:00.000Z</x:v>
      </x:c>
      <x:c r="E86" s="18" t="str">
        <x:v>Springfield</x:v>
      </x:c>
      <x:c r="F86" s="13" t="str">
        <x:v>Springfield Housing Authority (SHA) Redevelopment Project Area</x:v>
      </x:c>
      <x:c r="G86" s="15" t="d">
        <x:v>1999-12-16T00:00:00.000Z</x:v>
      </x:c>
      <x:c r="H86" s="19" t="n">
        <x:v>23</x:v>
      </x:c>
      <x:c r="I86" s="19" t="n">
        <x:v>35</x:v>
      </x:c>
      <x:c r="J86" s="19" t="n">
        <x:v>12</x:v>
      </x:c>
      <x:c r="K86" s="19" t="str">
        <x:v>c(235)</x:v>
      </x:c>
      <x:c r="L86" s="12" t="str">
        <x:v>Fiscal year 2025</x:v>
      </x:c>
      <x:c r="M86" s="23" t="n">
        <x:v>319395</x:v>
      </x:c>
      <x:c r="N86" s="22" t="n">
        <x:f>IF(ISNUMBER(M86),M86*J86,"")</x:f>
        <x:v>3832740</x:v>
      </x:c>
      <x:c r="O86" s="13" t="str">
        <x:v>Not determinable from extension law / TIF receipts alone</x:v>
      </x:c>
      <x:c r="P86" s="13" t="str"/>
      <x:c r="Q86" s="12" t="str"/>
      <x:c r="R86" s="24" t="e">
        <x:f>HYPERLINK("https://www.ilga.gov/ftp/Public%20Acts/102/102-0818.htm","Signed Public Act")</x:f>
        <x:v>HYPERLINK is not implemented. linkLocation=https://www.ilga.gov/ftp/Public%20Acts/102/102-0818.htm, friendlyName=Signed Public Act</x:v>
      </x:c>
      <x:c r="S86" s="24" t="e">
        <x:f>HYPERLINK("https://legiscan.com/IL/bill/SB658/2021","Signing history")</x:f>
        <x:v>HYPERLINK is not implemented. linkLocation=https://legiscan.com/IL/bill/SB658/2021, friendlyName=Signing history</x:v>
      </x:c>
      <x:c r="T86" s="24" t="e">
        <x:f>HYPERLINK("https://files.illinoiscomptroller.gov/LocGovTIF/FY2025/08312030/25TIF08312030SHA_RPA_1.pdf","TIF annual reporting")</x:f>
        <x:v>HYPERLINK is not implemented. linkLocation=https://files.illinoiscomptroller.gov/LocGovTIF/FY2025/08312030/25TIF08312030SHA_RPA_1.pdf, friendlyName=TIF annual reporting</x:v>
      </x:c>
      <x:c r="U86" s="24" t="e">
        <x:f>HYPERLINK("https://illinoiscomptroller.gov/constituent-services/local-government/local-government-warehouse/landingpage?code=083%2F120%2F30","Municipal report index")</x:f>
        <x:v>HYPERLINK is not implemented. linkLocation=https://illinoiscomptroller.gov/constituent-services/local-government/local-government-warehouse/landingpage?code=083%2F120%2F30, friendlyName=Municipal report index</x:v>
      </x:c>
      <x:c r="V86" s="24" t="e">
        <x:f>HYPERLINK("https://files.illinoiscomptroller.gov/LocGovTIF/FY2025/08312030/25TIF08312030SHA_RPA_1.pdf#page=3","Financial source")</x:f>
        <x:v>HYPERLINK is not implemented. linkLocation=https://files.illinoiscomptroller.gov/LocGovTIF/FY2025/08312030/25TIF08312030SHA_RPA_1.pdf#page=3, friendlyName=Financial source</x:v>
      </x:c>
      <x:c r="W86" s="24" t="str">
        <x:v>Municipal TIF annual report, section 3.1, current-year Property Tax Increment. FY 2025</x:v>
      </x:c>
      <x:c r="X86" s="24" t="e">
        <x:f>HYPERLINK("https://files.illinoiscomptroller.gov/LocGovTIF/FY2025/08312030/25TIF08312030SHA_RPA_1.pdf","Name source")</x:f>
        <x:v>HYPERLINK is not implemented. linkLocation=https://files.illinoiscomptroller.gov/LocGovTIF/FY2025/08312030/25TIF08312030SHA_RPA_1.pdf, friendlyName=Name source</x:v>
      </x:c>
      <x:c r="Y86" s="1" t="n">
        <x:v>1</x:v>
      </x:c>
      <x:c r="Z86" s="1"/>
      <x:c r="AA86" s="1"/>
    </x:row>
    <x:row r="87" ht="54" customHeight="1">
      <x:c r="A87" s="12" t="n">
        <x:v>80</x:v>
      </x:c>
      <x:c r="B87" s="12" t="str">
        <x:v>SB 658</x:v>
      </x:c>
      <x:c r="C87" s="12" t="str">
        <x:v>102-0818</x:v>
      </x:c>
      <x:c r="D87" s="17" t="d">
        <x:v>2022-05-13T00:00:00.000Z</x:v>
      </x:c>
      <x:c r="E87" s="18" t="str">
        <x:v>Chicago Heights</x:v>
      </x:c>
      <x:c r="F87" s="13" t="str">
        <x:v>Cub Food Center</x:v>
      </x:c>
      <x:c r="G87" s="15" t="d">
        <x:v>1989-04-03T00:00:00.000Z</x:v>
      </x:c>
      <x:c r="H87" s="19" t="n">
        <x:v>35</x:v>
      </x:c>
      <x:c r="I87" s="19" t="n">
        <x:v>47</x:v>
      </x:c>
      <x:c r="J87" s="19" t="n">
        <x:v>12</x:v>
      </x:c>
      <x:c r="K87" s="19" t="str">
        <x:v>f-5(14)</x:v>
      </x:c>
      <x:c r="L87" s="12" t="str">
        <x:v>Tax year 2024</x:v>
      </x:c>
      <x:c r="M87" s="23" t="n">
        <x:v>1201505.47</x:v>
      </x:c>
      <x:c r="N87" s="22" t="n">
        <x:f>IF(ISNUMBER(M87),M87*J87,"")</x:f>
        <x:v>14418065.64</x:v>
      </x:c>
      <x:c r="O87" s="13" t="str">
        <x:v>Not determinable from extension law / TIF receipts alone</x:v>
      </x:c>
      <x:c r="P87" s="13" t="str"/>
      <x:c r="Q87" s="12" t="str"/>
      <x:c r="R87" s="24" t="e">
        <x:f>HYPERLINK("https://www.ilga.gov/ftp/Public%20Acts/102/102-0818.htm","Signed Public Act")</x:f>
        <x:v>HYPERLINK is not implemented. linkLocation=https://www.ilga.gov/ftp/Public%20Acts/102/102-0818.htm, friendlyName=Signed Public Act</x:v>
      </x:c>
      <x:c r="S87" s="24" t="e">
        <x:f>HYPERLINK("https://legiscan.com/IL/bill/SB658/2021","Signing history")</x:f>
        <x:v>HYPERLINK is not implemented. linkLocation=https://legiscan.com/IL/bill/SB658/2021, friendlyName=Signing history</x:v>
      </x:c>
      <x:c r="T87" s="24" t="e">
        <x:f>HYPERLINK("https://files.illinoiscomptroller.gov/LocGovTIF/FY2025/01610530/25TIF01610530Cub_Food_Center_1.pdf","TIF annual reporting")</x:f>
        <x:v>HYPERLINK is not implemented. linkLocation=https://files.illinoiscomptroller.gov/LocGovTIF/FY2025/01610530/25TIF01610530Cub_Food_Center_1.pdf, friendlyName=TIF annual reporting</x:v>
      </x:c>
      <x:c r="U87" s="24" t="e">
        <x:f>HYPERLINK("https://illinoiscomptroller.gov/constituent-services/local-government/local-government-warehouse/landingpage?code=016%2F105%2F30","Municipal report index")</x:f>
        <x:v>HYPERLINK is not implemented. linkLocation=https://illinoiscomptroller.gov/constituent-services/local-government/local-government-warehouse/landingpage?code=016%2F105%2F30, friendlyName=Municipal report index</x:v>
      </x:c>
      <x:c r="V87" s="24" t="e">
        <x:f>HYPERLINK("https://news.wttw.com/sites/default/files/article/file-attachments/2024-tif-report.pdf#page=44","Financial source")</x:f>
        <x:v>HYPERLINK is not implemented. linkLocation=https://news.wttw.com/sites/default/files/article/file-attachments/2024-tif-report.pdf#page=44, friendlyName=Financial source</x:v>
      </x:c>
      <x:c r="W87" s="24" t="str">
        <x:v>Cook County Clerk 2024 TIF report; 03-0220-500; Chicago Heights - Cub Foods; PDF page 44</x:v>
      </x:c>
      <x:c r="X87" s="24" t="e">
        <x:f>HYPERLINK("https://files.illinoiscomptroller.gov/LocGovTIF/FY2025/01610530/25TIF01610530Cub_Food_Center_1.pdf","Name source")</x:f>
        <x:v>HYPERLINK is not implemented. linkLocation=https://files.illinoiscomptroller.gov/LocGovTIF/FY2025/01610530/25TIF01610530Cub_Food_Center_1.pdf, friendlyName=Name source</x:v>
      </x:c>
      <x:c r="Y87" s="1" t="n">
        <x:v>1</x:v>
      </x:c>
      <x:c r="Z87" s="1"/>
      <x:c r="AA87" s="1"/>
    </x:row>
    <x:row r="88" ht="54" customHeight="1">
      <x:c r="A88" s="12" t="n">
        <x:v>81</x:v>
      </x:c>
      <x:c r="B88" s="12" t="str">
        <x:v>SB 1595</x:v>
      </x:c>
      <x:c r="C88" s="12" t="str">
        <x:v>102-1113</x:v>
      </x:c>
      <x:c r="D88" s="17" t="d">
        <x:v>2022-12-21T00:00:00.000Z</x:v>
      </x:c>
      <x:c r="E88" s="18" t="str">
        <x:v>Chicago</x:v>
      </x:c>
      <x:c r="F88" s="13" t="str">
        <x:v>111th/Kedzie redevelopment project area</x:v>
      </x:c>
      <x:c r="G88" s="15" t="d">
        <x:v>1999-09-29T00:00:00.000Z</x:v>
      </x:c>
      <x:c r="H88" s="19" t="n">
        <x:v>23</x:v>
      </x:c>
      <x:c r="I88" s="19" t="n">
        <x:v>35</x:v>
      </x:c>
      <x:c r="J88" s="19" t="n">
        <x:v>12</x:v>
      </x:c>
      <x:c r="K88" s="19" t="str">
        <x:v>c(237)</x:v>
      </x:c>
      <x:c r="L88" s="12" t="str">
        <x:v>Tax year 2024</x:v>
      </x:c>
      <x:c r="M88" s="23" t="n">
        <x:v>1680829.01</x:v>
      </x:c>
      <x:c r="N88" s="22" t="n">
        <x:f>IF(ISNUMBER(M88),M88*J88,"")</x:f>
        <x:v>20169948.12</x:v>
      </x:c>
      <x:c r="O88" s="13" t="str">
        <x:v>Not determinable from extension law / TIF receipts alone</x:v>
      </x:c>
      <x:c r="P88" s="13" t="str"/>
      <x:c r="Q88" s="12" t="str"/>
      <x:c r="R88" s="24" t="e">
        <x:f>HYPERLINK("https://www.ilga.gov/ftp/Public%20Acts/102/102-1113.htm","Signed Public Act")</x:f>
        <x:v>HYPERLINK is not implemented. linkLocation=https://www.ilga.gov/ftp/Public%20Acts/102/102-1113.htm, friendlyName=Signed Public Act</x:v>
      </x:c>
      <x:c r="S88" s="24" t="e">
        <x:f>HYPERLINK("https://legiscan.com/IL/bill/SB1595/2021","Signing history")</x:f>
        <x:v>HYPERLINK is not implemented. linkLocation=https://legiscan.com/IL/bill/SB1595/2021, friendlyName=Signing history</x:v>
      </x:c>
      <x:c r="T88"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88"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88" s="24" t="e">
        <x:f>HYPERLINK("https://news.wttw.com/sites/default/files/article/file-attachments/2024-tif-report.pdf#page=39","Financial source")</x:f>
        <x:v>HYPERLINK is not implemented. linkLocation=https://news.wttw.com/sites/default/files/article/file-attachments/2024-tif-report.pdf#page=39, friendlyName=Financial source</x:v>
      </x:c>
      <x:c r="W88" s="24" t="str">
        <x:v>Cook County Clerk 2024 TIF report; 03-0210-500; Chicago - 111th St / Kedzie Avenue; PDF page 39</x:v>
      </x:c>
      <x:c r="X88" s="24" t="e">
        <x:f>HYPERLINK("https://www.ilga.gov/ftp/Public%20Acts/102/102-1113.htm","Name source")</x:f>
        <x:v>HYPERLINK is not implemented. linkLocation=https://www.ilga.gov/ftp/Public%20Acts/102/102-1113.htm, friendlyName=Name source</x:v>
      </x:c>
      <x:c r="Y88" s="1" t="n">
        <x:v>1</x:v>
      </x:c>
      <x:c r="Z88" s="1"/>
      <x:c r="AA88" s="1"/>
    </x:row>
    <x:row r="89" ht="54" customHeight="1">
      <x:c r="A89" s="12" t="n">
        <x:v>82</x:v>
      </x:c>
      <x:c r="B89" s="12" t="str">
        <x:v>SB 1595</x:v>
      </x:c>
      <x:c r="C89" s="12" t="str">
        <x:v>102-1113</x:v>
      </x:c>
      <x:c r="D89" s="17" t="d">
        <x:v>2022-12-21T00:00:00.000Z</x:v>
      </x:c>
      <x:c r="E89" s="18" t="str">
        <x:v>Chicago</x:v>
      </x:c>
      <x:c r="F89" s="13" t="str">
        <x:v>Canal/Congress redevelopment project area</x:v>
      </x:c>
      <x:c r="G89" s="15" t="d">
        <x:v>1998-11-12T00:00:00.000Z</x:v>
      </x:c>
      <x:c r="H89" s="19" t="n">
        <x:v>23</x:v>
      </x:c>
      <x:c r="I89" s="19" t="n">
        <x:v>35</x:v>
      </x:c>
      <x:c r="J89" s="19" t="n">
        <x:v>12</x:v>
      </x:c>
      <x:c r="K89" s="19" t="str">
        <x:v>c(238)</x:v>
      </x:c>
      <x:c r="L89" s="12" t="str">
        <x:v>Tax year 2024</x:v>
      </x:c>
      <x:c r="M89" s="23" t="n">
        <x:v>67034847.64</x:v>
      </x:c>
      <x:c r="N89" s="22" t="n">
        <x:f>IF(ISNUMBER(M89),M89*J89,"")</x:f>
        <x:v>804418171.6800001</x:v>
      </x:c>
      <x:c r="O89" s="13" t="str">
        <x:v>Not determinable from extension law / TIF receipts alone</x:v>
      </x:c>
      <x:c r="P89" s="13" t="str"/>
      <x:c r="Q89" s="12" t="str"/>
      <x:c r="R89" s="24" t="e">
        <x:f>HYPERLINK("https://www.ilga.gov/ftp/Public%20Acts/102/102-1113.htm","Signed Public Act")</x:f>
        <x:v>HYPERLINK is not implemented. linkLocation=https://www.ilga.gov/ftp/Public%20Acts/102/102-1113.htm, friendlyName=Signed Public Act</x:v>
      </x:c>
      <x:c r="S89" s="24" t="e">
        <x:f>HYPERLINK("https://legiscan.com/IL/bill/SB1595/2021","Signing history")</x:f>
        <x:v>HYPERLINK is not implemented. linkLocation=https://legiscan.com/IL/bill/SB1595/2021, friendlyName=Signing history</x:v>
      </x:c>
      <x:c r="T89"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89"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89" s="24" t="e">
        <x:f>HYPERLINK("https://news.wttw.com/sites/default/files/article/file-attachments/2024-tif-report.pdf#page=39","Financial source")</x:f>
        <x:v>HYPERLINK is not implemented. linkLocation=https://news.wttw.com/sites/default/files/article/file-attachments/2024-tif-report.pdf#page=39, friendlyName=Financial source</x:v>
      </x:c>
      <x:c r="W89" s="24" t="str">
        <x:v>Cook County Clerk 2024 TIF report; 03-0210-532; Chicago - Canal / Congress; PDF page 39</x:v>
      </x:c>
      <x:c r="X89" s="24" t="e">
        <x:f>HYPERLINK("https://www.ilga.gov/ftp/Public%20Acts/102/102-1113.htm","Name source")</x:f>
        <x:v>HYPERLINK is not implemented. linkLocation=https://www.ilga.gov/ftp/Public%20Acts/102/102-1113.htm, friendlyName=Name source</x:v>
      </x:c>
      <x:c r="Y89" s="1" t="n">
        <x:v>1</x:v>
      </x:c>
      <x:c r="Z89" s="1"/>
      <x:c r="AA89" s="1"/>
    </x:row>
    <x:row r="90" ht="54" customHeight="1">
      <x:c r="A90" s="12" t="n">
        <x:v>83</x:v>
      </x:c>
      <x:c r="B90" s="12" t="str">
        <x:v>SB 1595</x:v>
      </x:c>
      <x:c r="C90" s="12" t="str">
        <x:v>102-1113</x:v>
      </x:c>
      <x:c r="D90" s="17" t="d">
        <x:v>2022-12-21T00:00:00.000Z</x:v>
      </x:c>
      <x:c r="E90" s="18" t="str">
        <x:v>Chicago</x:v>
      </x:c>
      <x:c r="F90" s="13" t="str">
        <x:v>Galewood/Armitage Industrial redevelopment project area</x:v>
      </x:c>
      <x:c r="G90" s="15" t="d">
        <x:v>1999-07-07T00:00:00.000Z</x:v>
      </x:c>
      <x:c r="H90" s="19" t="n">
        <x:v>23</x:v>
      </x:c>
      <x:c r="I90" s="19" t="n">
        <x:v>35</x:v>
      </x:c>
      <x:c r="J90" s="19" t="n">
        <x:v>12</x:v>
      </x:c>
      <x:c r="K90" s="19" t="str">
        <x:v>c(239)</x:v>
      </x:c>
      <x:c r="L90" s="12" t="str">
        <x:v>Tax year 2024</x:v>
      </x:c>
      <x:c r="M90" s="23" t="n">
        <x:v>9219321.15</x:v>
      </x:c>
      <x:c r="N90" s="22" t="n">
        <x:f>IF(ISNUMBER(M90),M90*J90,"")</x:f>
        <x:v>110631853.80000001</x:v>
      </x:c>
      <x:c r="O90" s="13" t="str">
        <x:v>Not determinable from extension law / TIF receipts alone</x:v>
      </x:c>
      <x:c r="P90" s="13" t="str"/>
      <x:c r="Q90" s="12" t="str"/>
      <x:c r="R90" s="24" t="e">
        <x:f>HYPERLINK("https://www.ilga.gov/ftp/Public%20Acts/102/102-1113.htm","Signed Public Act")</x:f>
        <x:v>HYPERLINK is not implemented. linkLocation=https://www.ilga.gov/ftp/Public%20Acts/102/102-1113.htm, friendlyName=Signed Public Act</x:v>
      </x:c>
      <x:c r="S90" s="24" t="e">
        <x:f>HYPERLINK("https://legiscan.com/IL/bill/SB1595/2021","Signing history")</x:f>
        <x:v>HYPERLINK is not implemented. linkLocation=https://legiscan.com/IL/bill/SB1595/2021, friendlyName=Signing history</x:v>
      </x:c>
      <x:c r="T90"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90"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90" s="24" t="e">
        <x:f>HYPERLINK("https://news.wttw.com/sites/default/files/article/file-attachments/2024-tif-report.pdf#page=40","Financial source")</x:f>
        <x:v>HYPERLINK is not implemented. linkLocation=https://news.wttw.com/sites/default/files/article/file-attachments/2024-tif-report.pdf#page=40, friendlyName=Financial source</x:v>
      </x:c>
      <x:c r="W90" s="24" t="str">
        <x:v>Cook County Clerk 2024 TIF report; 03-0210-551; Chicago - Galewood / Armitage; PDF page 40</x:v>
      </x:c>
      <x:c r="X90" s="24" t="e">
        <x:f>HYPERLINK("https://www.ilga.gov/ftp/Public%20Acts/102/102-1113.htm","Name source")</x:f>
        <x:v>HYPERLINK is not implemented. linkLocation=https://www.ilga.gov/ftp/Public%20Acts/102/102-1113.htm, friendlyName=Name source</x:v>
      </x:c>
      <x:c r="Y90" s="1" t="n">
        <x:v>1</x:v>
      </x:c>
      <x:c r="Z90" s="1"/>
      <x:c r="AA90" s="1"/>
    </x:row>
    <x:row r="91" ht="54" customHeight="1">
      <x:c r="A91" s="12" t="n">
        <x:v>84</x:v>
      </x:c>
      <x:c r="B91" s="12" t="str">
        <x:v>SB 1595</x:v>
      </x:c>
      <x:c r="C91" s="12" t="str">
        <x:v>102-1113</x:v>
      </x:c>
      <x:c r="D91" s="17" t="d">
        <x:v>2022-12-21T00:00:00.000Z</x:v>
      </x:c>
      <x:c r="E91" s="18" t="str">
        <x:v>Chicago</x:v>
      </x:c>
      <x:c r="F91" s="13" t="str">
        <x:v>Madison/Austin Corridor redevelopment project area</x:v>
      </x:c>
      <x:c r="G91" s="15" t="d">
        <x:v>1999-09-29T00:00:00.000Z</x:v>
      </x:c>
      <x:c r="H91" s="19" t="n">
        <x:v>23</x:v>
      </x:c>
      <x:c r="I91" s="19" t="n">
        <x:v>35</x:v>
      </x:c>
      <x:c r="J91" s="19" t="n">
        <x:v>12</x:v>
      </x:c>
      <x:c r="K91" s="19" t="str">
        <x:v>c(240)</x:v>
      </x:c>
      <x:c r="L91" s="12" t="str">
        <x:v>Tax year 2024</x:v>
      </x:c>
      <x:c r="M91" s="23" t="n">
        <x:v>6923534.48</x:v>
      </x:c>
      <x:c r="N91" s="22" t="n">
        <x:f>IF(ISNUMBER(M91),M91*J91,"")</x:f>
        <x:v>83082413.76</x:v>
      </x:c>
      <x:c r="O91" s="13" t="str">
        <x:v>Not determinable from extension law / TIF receipts alone</x:v>
      </x:c>
      <x:c r="P91" s="13" t="str"/>
      <x:c r="Q91" s="12" t="str"/>
      <x:c r="R91" s="24" t="e">
        <x:f>HYPERLINK("https://www.ilga.gov/ftp/Public%20Acts/102/102-1113.htm","Signed Public Act")</x:f>
        <x:v>HYPERLINK is not implemented. linkLocation=https://www.ilga.gov/ftp/Public%20Acts/102/102-1113.htm, friendlyName=Signed Public Act</x:v>
      </x:c>
      <x:c r="S91" s="24" t="e">
        <x:f>HYPERLINK("https://legiscan.com/IL/bill/SB1595/2021","Signing history")</x:f>
        <x:v>HYPERLINK is not implemented. linkLocation=https://legiscan.com/IL/bill/SB1595/2021, friendlyName=Signing history</x:v>
      </x:c>
      <x:c r="T91"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91"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91" s="24" t="e">
        <x:f>HYPERLINK("https://news.wttw.com/sites/default/files/article/file-attachments/2024-tif-report.pdf#page=40","Financial source")</x:f>
        <x:v>HYPERLINK is not implemented. linkLocation=https://news.wttw.com/sites/default/files/article/file-attachments/2024-tif-report.pdf#page=40, friendlyName=Financial source</x:v>
      </x:c>
      <x:c r="W91" s="24" t="str">
        <x:v>Cook County Clerk 2024 TIF report; 03-0210-567; Chicago - Madison / Austin; PDF page 40</x:v>
      </x:c>
      <x:c r="X91" s="24" t="e">
        <x:f>HYPERLINK("https://www.ilga.gov/ftp/Public%20Acts/102/102-1113.htm","Name source")</x:f>
        <x:v>HYPERLINK is not implemented. linkLocation=https://www.ilga.gov/ftp/Public%20Acts/102/102-1113.htm, friendlyName=Name source</x:v>
      </x:c>
      <x:c r="Y91" s="1" t="n">
        <x:v>1</x:v>
      </x:c>
      <x:c r="Z91" s="1"/>
      <x:c r="AA91" s="1"/>
    </x:row>
    <x:row r="92" ht="54" customHeight="1">
      <x:c r="A92" s="12" t="n">
        <x:v>85</x:v>
      </x:c>
      <x:c r="B92" s="12" t="str">
        <x:v>SB 1595</x:v>
      </x:c>
      <x:c r="C92" s="12" t="str">
        <x:v>102-1113</x:v>
      </x:c>
      <x:c r="D92" s="17" t="d">
        <x:v>2022-12-21T00:00:00.000Z</x:v>
      </x:c>
      <x:c r="E92" s="18" t="str">
        <x:v>Chicago</x:v>
      </x:c>
      <x:c r="F92" s="13" t="str">
        <x:v>South Chicago redevelopment project area</x:v>
      </x:c>
      <x:c r="G92" s="15" t="d">
        <x:v>2000-04-12T00:00:00.000Z</x:v>
      </x:c>
      <x:c r="H92" s="19" t="n">
        <x:v>23</x:v>
      </x:c>
      <x:c r="I92" s="19" t="n">
        <x:v>35</x:v>
      </x:c>
      <x:c r="J92" s="19" t="n">
        <x:v>12</x:v>
      </x:c>
      <x:c r="K92" s="19" t="str">
        <x:v>c(241)</x:v>
      </x:c>
      <x:c r="L92" s="12" t="str">
        <x:v>Tax year 2024</x:v>
      </x:c>
      <x:c r="M92" s="23" t="n">
        <x:v>2434823.28</x:v>
      </x:c>
      <x:c r="N92" s="22" t="n">
        <x:f>IF(ISNUMBER(M92),M92*J92,"")</x:f>
        <x:v>29217879.36</x:v>
      </x:c>
      <x:c r="O92" s="13" t="str">
        <x:v>Not determinable from extension law / TIF receipts alone</x:v>
      </x:c>
      <x:c r="P92" s="13" t="str"/>
      <x:c r="Q92" s="12" t="str"/>
      <x:c r="R92" s="24" t="e">
        <x:f>HYPERLINK("https://www.ilga.gov/ftp/Public%20Acts/102/102-1113.htm","Signed Public Act")</x:f>
        <x:v>HYPERLINK is not implemented. linkLocation=https://www.ilga.gov/ftp/Public%20Acts/102/102-1113.htm, friendlyName=Signed Public Act</x:v>
      </x:c>
      <x:c r="S92" s="24" t="e">
        <x:f>HYPERLINK("https://legiscan.com/IL/bill/SB1595/2021","Signing history")</x:f>
        <x:v>HYPERLINK is not implemented. linkLocation=https://legiscan.com/IL/bill/SB1595/2021, friendlyName=Signing history</x:v>
      </x:c>
      <x:c r="T92"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92"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92" s="24" t="e">
        <x:f>HYPERLINK("https://news.wttw.com/sites/default/files/article/file-attachments/2024-tif-report.pdf#page=41","Financial source")</x:f>
        <x:v>HYPERLINK is not implemented. linkLocation=https://news.wttw.com/sites/default/files/article/file-attachments/2024-tif-report.pdf#page=41, friendlyName=Financial source</x:v>
      </x:c>
      <x:c r="W92" s="24" t="str">
        <x:v>Cook County Clerk 2024 TIF report; 03-0210-596; Chicago - South Chicago; PDF page 41</x:v>
      </x:c>
      <x:c r="X92" s="24" t="e">
        <x:f>HYPERLINK("https://www.ilga.gov/ftp/Public%20Acts/102/102-1113.htm","Name source")</x:f>
        <x:v>HYPERLINK is not implemented. linkLocation=https://www.ilga.gov/ftp/Public%20Acts/102/102-1113.htm, friendlyName=Name source</x:v>
      </x:c>
      <x:c r="Y92" s="1" t="n">
        <x:v>1</x:v>
      </x:c>
      <x:c r="Z92" s="1"/>
      <x:c r="AA92" s="1"/>
    </x:row>
    <x:row r="93" ht="54" customHeight="1">
      <x:c r="A93" s="12" t="n">
        <x:v>86</x:v>
      </x:c>
      <x:c r="B93" s="12" t="str">
        <x:v>SB 1595</x:v>
      </x:c>
      <x:c r="C93" s="12" t="str">
        <x:v>102-1113</x:v>
      </x:c>
      <x:c r="D93" s="17" t="d">
        <x:v>2022-12-21T00:00:00.000Z</x:v>
      </x:c>
      <x:c r="E93" s="18" t="str">
        <x:v>Elkhart</x:v>
      </x:c>
      <x:c r="F93" s="13" t="str">
        <x:v>Village of Elkhart TIF</x:v>
      </x:c>
      <x:c r="G93" s="15" t="d">
        <x:v>2002-01-09T00:00:00.000Z</x:v>
      </x:c>
      <x:c r="H93" s="19" t="n">
        <x:v>23</x:v>
      </x:c>
      <x:c r="I93" s="19" t="n">
        <x:v>35</x:v>
      </x:c>
      <x:c r="J93" s="19" t="n">
        <x:v>12</x:v>
      </x:c>
      <x:c r="K93" s="19" t="str">
        <x:v>c(242)</x:v>
      </x:c>
      <x:c r="L93" s="12" t="str">
        <x:v>Fiscal year 2025</x:v>
      </x:c>
      <x:c r="M93" s="23" t="n">
        <x:v>255282</x:v>
      </x:c>
      <x:c r="N93" s="22" t="n">
        <x:f>IF(ISNUMBER(M93),M93*J93,"")</x:f>
        <x:v>3063384</x:v>
      </x:c>
      <x:c r="O93" s="13" t="str">
        <x:v>Not determinable from extension law / TIF receipts alone</x:v>
      </x:c>
      <x:c r="P93" s="13" t="str"/>
      <x:c r="Q93" s="12" t="str"/>
      <x:c r="R93" s="24" t="e">
        <x:f>HYPERLINK("https://www.ilga.gov/ftp/Public%20Acts/102/102-1113.htm","Signed Public Act")</x:f>
        <x:v>HYPERLINK is not implemented. linkLocation=https://www.ilga.gov/ftp/Public%20Acts/102/102-1113.htm, friendlyName=Signed Public Act</x:v>
      </x:c>
      <x:c r="S93" s="24" t="e">
        <x:f>HYPERLINK("https://legiscan.com/IL/bill/SB1595/2021","Signing history")</x:f>
        <x:v>HYPERLINK is not implemented. linkLocation=https://legiscan.com/IL/bill/SB1595/2021, friendlyName=Signing history</x:v>
      </x:c>
      <x:c r="T93" s="24" t="e">
        <x:f>HYPERLINK("https://files.illinoiscomptroller.gov/LocGovTIF/FY2025/05402032/25TIF05402032Village_ohart_TIF_1.pdf","TIF annual reporting")</x:f>
        <x:v>HYPERLINK is not implemented. linkLocation=https://files.illinoiscomptroller.gov/LocGovTIF/FY2025/05402032/25TIF05402032Village_ohart_TIF_1.pdf, friendlyName=TIF annual reporting</x:v>
      </x:c>
      <x:c r="U93" s="24" t="e">
        <x:f>HYPERLINK("https://illinoiscomptroller.gov/constituent-services/local-government/local-government-warehouse/landingpage?code=054%2F020%2F32","Municipal report index")</x:f>
        <x:v>HYPERLINK is not implemented. linkLocation=https://illinoiscomptroller.gov/constituent-services/local-government/local-government-warehouse/landingpage?code=054%2F020%2F32, friendlyName=Municipal report index</x:v>
      </x:c>
      <x:c r="V93" s="24" t="e">
        <x:f>HYPERLINK("https://files.illinoiscomptroller.gov/LocGovTIF/FY2025/05402032/25TIF05402032Village_ohart_TIF_1.pdf#page=3","Financial source")</x:f>
        <x:v>HYPERLINK is not implemented. linkLocation=https://files.illinoiscomptroller.gov/LocGovTIF/FY2025/05402032/25TIF05402032Village_ohart_TIF_1.pdf#page=3, friendlyName=Financial source</x:v>
      </x:c>
      <x:c r="W93" s="24" t="str">
        <x:v>Municipal TIF annual report, section 3.1, current-year Property Tax Increment. FY 2025</x:v>
      </x:c>
      <x:c r="X93" s="24" t="e">
        <x:f>HYPERLINK("https://files.illinoiscomptroller.gov/LocGovTIF/FY2025/05402032/25TIF05402032Village_ohart_TIF_1.pdf","Name source")</x:f>
        <x:v>HYPERLINK is not implemented. linkLocation=https://files.illinoiscomptroller.gov/LocGovTIF/FY2025/05402032/25TIF05402032Village_ohart_TIF_1.pdf, friendlyName=Name source</x:v>
      </x:c>
      <x:c r="Y93" s="1" t="n">
        <x:v>1</x:v>
      </x:c>
      <x:c r="Z93" s="1"/>
      <x:c r="AA93" s="1"/>
    </x:row>
    <x:row r="94" ht="54" customHeight="1">
      <x:c r="A94" s="12" t="n">
        <x:v>87</x:v>
      </x:c>
      <x:c r="B94" s="12" t="str">
        <x:v>SB 1595</x:v>
      </x:c>
      <x:c r="C94" s="12" t="str">
        <x:v>102-1113</x:v>
      </x:c>
      <x:c r="D94" s="17" t="d">
        <x:v>2022-12-21T00:00:00.000Z</x:v>
      </x:c>
      <x:c r="E94" s="18" t="str">
        <x:v>Robinson</x:v>
      </x:c>
      <x:c r="F94" s="13" t="str">
        <x:v>West Robinson Industrial redevelopment project area</x:v>
      </x:c>
      <x:c r="G94" s="15" t="d">
        <x:v>2000-05-23T00:00:00.000Z</x:v>
      </x:c>
      <x:c r="H94" s="19" t="n">
        <x:v>23</x:v>
      </x:c>
      <x:c r="I94" s="19" t="n">
        <x:v>35</x:v>
      </x:c>
      <x:c r="J94" s="19" t="n">
        <x:v>12</x:v>
      </x:c>
      <x:c r="K94" s="19" t="str">
        <x:v>c(243)</x:v>
      </x:c>
      <x:c r="L94" s="12" t="str">
        <x:v>Fiscal year 2025</x:v>
      </x:c>
      <x:c r="M94" s="23" t="n">
        <x:v>226794</x:v>
      </x:c>
      <x:c r="N94" s="22" t="n">
        <x:f>IF(ISNUMBER(M94),M94*J94,"")</x:f>
        <x:v>2721528</x:v>
      </x:c>
      <x:c r="O94" s="13" t="str">
        <x:v>Not determinable from extension law / TIF receipts alone</x:v>
      </x:c>
      <x:c r="P94" s="13" t="str"/>
      <x:c r="Q94" s="12" t="str"/>
      <x:c r="R94" s="24" t="e">
        <x:f>HYPERLINK("https://www.ilga.gov/ftp/Public%20Acts/102/102-1113.htm","Signed Public Act")</x:f>
        <x:v>HYPERLINK is not implemented. linkLocation=https://www.ilga.gov/ftp/Public%20Acts/102/102-1113.htm, friendlyName=Signed Public Act</x:v>
      </x:c>
      <x:c r="S94" s="24" t="e">
        <x:f>HYPERLINK("https://legiscan.com/IL/bill/SB1595/2021","Signing history")</x:f>
        <x:v>HYPERLINK is not implemented. linkLocation=https://legiscan.com/IL/bill/SB1595/2021, friendlyName=Signing history</x:v>
      </x:c>
      <x:c r="T94" s="24" t="e">
        <x:f>HYPERLINK("https://files.illinoiscomptroller.gov/LocGovTIF/FY2025/01703030/25TIF01703030West_Robidustrial_1.pdf","TIF annual reporting")</x:f>
        <x:v>HYPERLINK is not implemented. linkLocation=https://files.illinoiscomptroller.gov/LocGovTIF/FY2025/01703030/25TIF01703030West_Robidustrial_1.pdf, friendlyName=TIF annual reporting</x:v>
      </x:c>
      <x:c r="U94" s="24" t="e">
        <x:f>HYPERLINK("https://illinoiscomptroller.gov/constituent-services/local-government/local-government-warehouse/landingpage?code=017%2F030%2F30","Municipal report index")</x:f>
        <x:v>HYPERLINK is not implemented. linkLocation=https://illinoiscomptroller.gov/constituent-services/local-government/local-government-warehouse/landingpage?code=017%2F030%2F30, friendlyName=Municipal report index</x:v>
      </x:c>
      <x:c r="V94" s="24" t="e">
        <x:f>HYPERLINK("https://files.illinoiscomptroller.gov/LocGovTIF/FY2025/01703030/25TIF01703030West_Robidustrial_1.pdf#page=3","Financial source")</x:f>
        <x:v>HYPERLINK is not implemented. linkLocation=https://files.illinoiscomptroller.gov/LocGovTIF/FY2025/01703030/25TIF01703030West_Robidustrial_1.pdf#page=3, friendlyName=Financial source</x:v>
      </x:c>
      <x:c r="W94" s="24" t="str">
        <x:v>Municipal TIF annual report, section 3.1, current-year Property Tax Increment. FY 2025</x:v>
      </x:c>
      <x:c r="X94" s="24" t="e">
        <x:f>HYPERLINK("https://www.ilga.gov/ftp/Public%20Acts/102/102-1113.htm","Name source")</x:f>
        <x:v>HYPERLINK is not implemented. linkLocation=https://www.ilga.gov/ftp/Public%20Acts/102/102-1113.htm, friendlyName=Name source</x:v>
      </x:c>
      <x:c r="Y94" s="1" t="n">
        <x:v>1</x:v>
      </x:c>
      <x:c r="Z94" s="1"/>
      <x:c r="AA94" s="1"/>
    </x:row>
    <x:row r="95" ht="54" customHeight="1">
      <x:c r="A95" s="12" t="n">
        <x:v>88</x:v>
      </x:c>
      <x:c r="B95" s="12" t="str">
        <x:v>SB 1595</x:v>
      </x:c>
      <x:c r="C95" s="12" t="str">
        <x:v>102-1113</x:v>
      </x:c>
      <x:c r="D95" s="17" t="d">
        <x:v>2022-12-21T00:00:00.000Z</x:v>
      </x:c>
      <x:c r="E95" s="18" t="str">
        <x:v>Robinson</x:v>
      </x:c>
      <x:c r="F95" s="13" t="str">
        <x:v>Downtown Robinson redevelopment project area</x:v>
      </x:c>
      <x:c r="G95" s="15" t="d">
        <x:v>2001-10-09T00:00:00.000Z</x:v>
      </x:c>
      <x:c r="H95" s="19" t="n">
        <x:v>23</x:v>
      </x:c>
      <x:c r="I95" s="19" t="n">
        <x:v>35</x:v>
      </x:c>
      <x:c r="J95" s="19" t="n">
        <x:v>12</x:v>
      </x:c>
      <x:c r="K95" s="19" t="str">
        <x:v>c(244)</x:v>
      </x:c>
      <x:c r="L95" s="12" t="str">
        <x:v>Fiscal year 2025</x:v>
      </x:c>
      <x:c r="M95" s="23" t="n">
        <x:v>166460</x:v>
      </x:c>
      <x:c r="N95" s="22" t="n">
        <x:f>IF(ISNUMBER(M95),M95*J95,"")</x:f>
        <x:v>1997520</x:v>
      </x:c>
      <x:c r="O95" s="13" t="str">
        <x:v>Not determinable from extension law / TIF receipts alone</x:v>
      </x:c>
      <x:c r="P95" s="13" t="str"/>
      <x:c r="Q95" s="12" t="str"/>
      <x:c r="R95" s="24" t="e">
        <x:f>HYPERLINK("https://www.ilga.gov/ftp/Public%20Acts/102/102-1113.htm","Signed Public Act")</x:f>
        <x:v>HYPERLINK is not implemented. linkLocation=https://www.ilga.gov/ftp/Public%20Acts/102/102-1113.htm, friendlyName=Signed Public Act</x:v>
      </x:c>
      <x:c r="S95" s="24" t="e">
        <x:f>HYPERLINK("https://legiscan.com/IL/bill/SB1595/2021","Signing history")</x:f>
        <x:v>HYPERLINK is not implemented. linkLocation=https://legiscan.com/IL/bill/SB1595/2021, friendlyName=Signing history</x:v>
      </x:c>
      <x:c r="T95" s="24" t="e">
        <x:f>HYPERLINK("https://files.illinoiscomptroller.gov/LocGovTIF/FY2025/01703030/25TIF01703030Downtown_1.pdf","TIF annual reporting")</x:f>
        <x:v>HYPERLINK is not implemented. linkLocation=https://files.illinoiscomptroller.gov/LocGovTIF/FY2025/01703030/25TIF01703030Downtown_1.pdf, friendlyName=TIF annual reporting</x:v>
      </x:c>
      <x:c r="U95" s="24" t="e">
        <x:f>HYPERLINK("https://illinoiscomptroller.gov/constituent-services/local-government/local-government-warehouse/landingpage?code=017%2F030%2F30","Municipal report index")</x:f>
        <x:v>HYPERLINK is not implemented. linkLocation=https://illinoiscomptroller.gov/constituent-services/local-government/local-government-warehouse/landingpage?code=017%2F030%2F30, friendlyName=Municipal report index</x:v>
      </x:c>
      <x:c r="V95" s="24" t="e">
        <x:f>HYPERLINK("https://files.illinoiscomptroller.gov/LocGovTIF/FY2025/01703030/25TIF01703030Downtown_1.pdf#page=3","Financial source")</x:f>
        <x:v>HYPERLINK is not implemented. linkLocation=https://files.illinoiscomptroller.gov/LocGovTIF/FY2025/01703030/25TIF01703030Downtown_1.pdf#page=3, friendlyName=Financial source</x:v>
      </x:c>
      <x:c r="W95" s="24" t="str">
        <x:v>Municipal TIF annual report, section 3.1, current-year Property Tax Increment. FY 2025</x:v>
      </x:c>
      <x:c r="X95" s="24" t="e">
        <x:f>HYPERLINK("https://www.ilga.gov/ftp/Public%20Acts/102/102-1113.htm","Name source")</x:f>
        <x:v>HYPERLINK is not implemented. linkLocation=https://www.ilga.gov/ftp/Public%20Acts/102/102-1113.htm, friendlyName=Name source</x:v>
      </x:c>
      <x:c r="Y95" s="1" t="n">
        <x:v>1</x:v>
      </x:c>
      <x:c r="Z95" s="1"/>
      <x:c r="AA95" s="1"/>
    </x:row>
    <x:row r="96" ht="54" customHeight="1">
      <x:c r="A96" s="12" t="n">
        <x:v>89</x:v>
      </x:c>
      <x:c r="B96" s="12" t="str">
        <x:v>SB 1595</x:v>
      </x:c>
      <x:c r="C96" s="12" t="str">
        <x:v>102-1113</x:v>
      </x:c>
      <x:c r="D96" s="17" t="d">
        <x:v>2022-12-21T00:00:00.000Z</x:v>
      </x:c>
      <x:c r="E96" s="18" t="str">
        <x:v>Valmeyer</x:v>
      </x:c>
      <x:c r="F96" s="13" t="str">
        <x:v>Rock City Business Complex</x:v>
      </x:c>
      <x:c r="G96" s="15" t="d">
        <x:v>2000-09-19T00:00:00.000Z</x:v>
      </x:c>
      <x:c r="H96" s="19" t="n">
        <x:v>23</x:v>
      </x:c>
      <x:c r="I96" s="19" t="n">
        <x:v>35</x:v>
      </x:c>
      <x:c r="J96" s="19" t="n">
        <x:v>12</x:v>
      </x:c>
      <x:c r="K96" s="19" t="str">
        <x:v>c(245)</x:v>
      </x:c>
      <x:c r="L96" s="12" t="str">
        <x:v>Fiscal year 2026</x:v>
      </x:c>
      <x:c r="M96" s="23" t="n">
        <x:v>421587</x:v>
      </x:c>
      <x:c r="N96" s="22" t="n">
        <x:f>IF(ISNUMBER(M96),M96*J96,"")</x:f>
        <x:v>5059044</x:v>
      </x:c>
      <x:c r="O96" s="13" t="str">
        <x:v>Not determinable from extension law / TIF receipts alone</x:v>
      </x:c>
      <x:c r="P96" s="13" t="str"/>
      <x:c r="Q96" s="12" t="str"/>
      <x:c r="R96" s="24" t="e">
        <x:f>HYPERLINK("https://www.ilga.gov/ftp/Public%20Acts/102/102-1113.htm","Signed Public Act")</x:f>
        <x:v>HYPERLINK is not implemented. linkLocation=https://www.ilga.gov/ftp/Public%20Acts/102/102-1113.htm, friendlyName=Signed Public Act</x:v>
      </x:c>
      <x:c r="S96" s="24" t="e">
        <x:f>HYPERLINK("https://legiscan.com/IL/bill/SB1595/2021","Signing history")</x:f>
        <x:v>HYPERLINK is not implemented. linkLocation=https://legiscan.com/IL/bill/SB1595/2021, friendlyName=Signing history</x:v>
      </x:c>
      <x:c r="T96" s="24" t="e">
        <x:f>HYPERLINK("https://files.illinoiscomptroller.gov/LocGovTIF/FY2026/06703032/26TIF06703032Rock_City_Complex_1.pdf","TIF annual reporting")</x:f>
        <x:v>HYPERLINK is not implemented. linkLocation=https://files.illinoiscomptroller.gov/LocGovTIF/FY2026/06703032/26TIF06703032Rock_City_Complex_1.pdf, friendlyName=TIF annual reporting</x:v>
      </x:c>
      <x:c r="U96" s="24" t="e">
        <x:f>HYPERLINK("https://illinoiscomptroller.gov/constituent-services/local-government/local-government-warehouse/landingpage?code=067%2F030%2F32","Municipal report index")</x:f>
        <x:v>HYPERLINK is not implemented. linkLocation=https://illinoiscomptroller.gov/constituent-services/local-government/local-government-warehouse/landingpage?code=067%2F030%2F32, friendlyName=Municipal report index</x:v>
      </x:c>
      <x:c r="V96" s="24" t="e">
        <x:f>HYPERLINK("https://files.illinoiscomptroller.gov/LocGovTIF/FY2026/06703032/26TIF06703032Rock_City_Complex_1.pdf#page=3","Financial source")</x:f>
        <x:v>HYPERLINK is not implemented. linkLocation=https://files.illinoiscomptroller.gov/LocGovTIF/FY2026/06703032/26TIF06703032Rock_City_Complex_1.pdf#page=3, friendlyName=Financial source</x:v>
      </x:c>
      <x:c r="W96" s="24" t="str">
        <x:v>Municipal TIF annual report, section 3.1, current-year Property Tax Increment. FY 2026</x:v>
      </x:c>
      <x:c r="X96" s="24" t="e">
        <x:f>HYPERLINK("https://files.illinoiscomptroller.gov/LocGovTIF/FY2026/06703032/26TIF06703032Rock_City_Complex_1.pdf","Name source")</x:f>
        <x:v>HYPERLINK is not implemented. linkLocation=https://files.illinoiscomptroller.gov/LocGovTIF/FY2026/06703032/26TIF06703032Rock_City_Complex_1.pdf, friendlyName=Name source</x:v>
      </x:c>
      <x:c r="Y96" s="1" t="n">
        <x:v>1</x:v>
      </x:c>
      <x:c r="Z96" s="1"/>
      <x:c r="AA96" s="1"/>
    </x:row>
    <x:row r="97" ht="54" customHeight="1">
      <x:c r="A97" s="12" t="n">
        <x:v>90</x:v>
      </x:c>
      <x:c r="B97" s="12" t="str">
        <x:v>SB 1595</x:v>
      </x:c>
      <x:c r="C97" s="12" t="str">
        <x:v>102-1113</x:v>
      </x:c>
      <x:c r="D97" s="17" t="d">
        <x:v>2022-12-21T00:00:00.000Z</x:v>
      </x:c>
      <x:c r="E97" s="18" t="str">
        <x:v>McHenry</x:v>
      </x:c>
      <x:c r="F97" s="13" t="str">
        <x:v>Downtown TIF district</x:v>
      </x:c>
      <x:c r="G97" s="15" t="d">
        <x:v>2002-04-15T00:00:00.000Z</x:v>
      </x:c>
      <x:c r="H97" s="19" t="n">
        <x:v>23</x:v>
      </x:c>
      <x:c r="I97" s="19" t="n">
        <x:v>35</x:v>
      </x:c>
      <x:c r="J97" s="19" t="n">
        <x:v>12</x:v>
      </x:c>
      <x:c r="K97" s="19" t="str">
        <x:v>c(246)</x:v>
      </x:c>
      <x:c r="L97" s="12" t="str">
        <x:v>Fiscal year 2025</x:v>
      </x:c>
      <x:c r="M97" s="23" t="n">
        <x:v>902999</x:v>
      </x:c>
      <x:c r="N97" s="22" t="n">
        <x:f>IF(ISNUMBER(M97),M97*J97,"")</x:f>
        <x:v>10835988</x:v>
      </x:c>
      <x:c r="O97" s="13" t="str">
        <x:v>Not determinable from extension law / TIF receipts alone</x:v>
      </x:c>
      <x:c r="P97" s="13" t="str"/>
      <x:c r="Q97" s="12" t="str"/>
      <x:c r="R97" s="24" t="e">
        <x:f>HYPERLINK("https://www.ilga.gov/ftp/Public%20Acts/102/102-1113.htm","Signed Public Act")</x:f>
        <x:v>HYPERLINK is not implemented. linkLocation=https://www.ilga.gov/ftp/Public%20Acts/102/102-1113.htm, friendlyName=Signed Public Act</x:v>
      </x:c>
      <x:c r="S97" s="24" t="e">
        <x:f>HYPERLINK("https://legiscan.com/IL/bill/SB1595/2021","Signing history")</x:f>
        <x:v>HYPERLINK is not implemented. linkLocation=https://legiscan.com/IL/bill/SB1595/2021, friendlyName=Signing history</x:v>
      </x:c>
      <x:c r="T97" s="24" t="e">
        <x:f>HYPERLINK("https://files.illinoiscomptroller.gov/LocGovTIF/FY2025/06308530/25TIF06308530Downtown_TIF_1.pdf","TIF annual reporting")</x:f>
        <x:v>HYPERLINK is not implemented. linkLocation=https://files.illinoiscomptroller.gov/LocGovTIF/FY2025/06308530/25TIF06308530Downtown_TIF_1.pdf, friendlyName=TIF annual reporting</x:v>
      </x:c>
      <x:c r="U97" s="24" t="e">
        <x:f>HYPERLINK("https://illinoiscomptroller.gov/constituent-services/local-government/local-government-warehouse/landingpage?code=063%2F085%2F30","Municipal report index")</x:f>
        <x:v>HYPERLINK is not implemented. linkLocation=https://illinoiscomptroller.gov/constituent-services/local-government/local-government-warehouse/landingpage?code=063%2F085%2F30, friendlyName=Municipal report index</x:v>
      </x:c>
      <x:c r="V97" s="24" t="e">
        <x:f>HYPERLINK("https://files.illinoiscomptroller.gov/LocGovTIF/FY2025/06308530/25TIF06308530Downtown_TIF_1.pdf#page=3","Financial source")</x:f>
        <x:v>HYPERLINK is not implemented. linkLocation=https://files.illinoiscomptroller.gov/LocGovTIF/FY2025/06308530/25TIF06308530Downtown_TIF_1.pdf#page=3, friendlyName=Financial source</x:v>
      </x:c>
      <x:c r="W97" s="24" t="str">
        <x:v>Municipal TIF annual report, section 3.1, current-year Property Tax Increment. FY 2025</x:v>
      </x:c>
      <x:c r="X97" s="24" t="e">
        <x:f>HYPERLINK("https://www.ilga.gov/ftp/Public%20Acts/102/102-1113.htm","Name source")</x:f>
        <x:v>HYPERLINK is not implemented. linkLocation=https://www.ilga.gov/ftp/Public%20Acts/102/102-1113.htm, friendlyName=Name source</x:v>
      </x:c>
      <x:c r="Y97" s="1" t="n">
        <x:v>1</x:v>
      </x:c>
      <x:c r="Z97" s="1"/>
      <x:c r="AA97" s="1"/>
    </x:row>
    <x:row r="98" ht="54" customHeight="1">
      <x:c r="A98" s="12" t="n">
        <x:v>91</x:v>
      </x:c>
      <x:c r="B98" s="12" t="str">
        <x:v>SB 1595</x:v>
      </x:c>
      <x:c r="C98" s="12" t="str">
        <x:v>102-1113</x:v>
      </x:c>
      <x:c r="D98" s="17" t="d">
        <x:v>2022-12-21T00:00:00.000Z</x:v>
      </x:c>
      <x:c r="E98" s="18" t="str">
        <x:v>Pontiac</x:v>
      </x:c>
      <x:c r="F98" s="13" t="str">
        <x:v>TIF I (the Main St TIF)</x:v>
      </x:c>
      <x:c r="G98" s="15" t="d">
        <x:v>1986-12-29T00:00:00.000Z</x:v>
      </x:c>
      <x:c r="H98" s="19" t="n">
        <x:v>35</x:v>
      </x:c>
      <x:c r="I98" s="19" t="n">
        <x:v>47</x:v>
      </x:c>
      <x:c r="J98" s="19" t="n">
        <x:v>12</x:v>
      </x:c>
      <x:c r="K98" s="19" t="str">
        <x:v>f-5(15)</x:v>
      </x:c>
      <x:c r="L98" s="12" t="str">
        <x:v>Fiscal year 2025</x:v>
      </x:c>
      <x:c r="M98" s="23" t="n">
        <x:v>1039189</x:v>
      </x:c>
      <x:c r="N98" s="22" t="n">
        <x:f>IF(ISNUMBER(M98),M98*J98,"")</x:f>
        <x:v>12470268</x:v>
      </x:c>
      <x:c r="O98" s="13" t="str">
        <x:v>Not determinable from extension law / TIF receipts alone</x:v>
      </x:c>
      <x:c r="P98" s="13" t="str"/>
      <x:c r="Q98" s="12" t="str"/>
      <x:c r="R98" s="24" t="e">
        <x:f>HYPERLINK("https://www.ilga.gov/ftp/Public%20Acts/102/102-1113.htm","Signed Public Act")</x:f>
        <x:v>HYPERLINK is not implemented. linkLocation=https://www.ilga.gov/ftp/Public%20Acts/102/102-1113.htm, friendlyName=Signed Public Act</x:v>
      </x:c>
      <x:c r="S98" s="24" t="e">
        <x:f>HYPERLINK("https://legiscan.com/IL/bill/SB1595/2021","Signing history")</x:f>
        <x:v>HYPERLINK is not implemented. linkLocation=https://legiscan.com/IL/bill/SB1595/2021, friendlyName=Signing history</x:v>
      </x:c>
      <x:c r="T98" s="24" t="e">
        <x:f>HYPERLINK("https://files.illinoiscomptroller.gov/LocGovTIF/FY2025/05306530/25TIF05306530TIF_1_1.pdf","TIF annual reporting")</x:f>
        <x:v>HYPERLINK is not implemented. linkLocation=https://files.illinoiscomptroller.gov/LocGovTIF/FY2025/05306530/25TIF05306530TIF_1_1.pdf, friendlyName=TIF annual reporting</x:v>
      </x:c>
      <x:c r="U98" s="24" t="e">
        <x:f>HYPERLINK("https://illinoiscomptroller.gov/constituent-services/local-government/local-government-warehouse/landingpage?code=053%2F065%2F30","Municipal report index")</x:f>
        <x:v>HYPERLINK is not implemented. linkLocation=https://illinoiscomptroller.gov/constituent-services/local-government/local-government-warehouse/landingpage?code=053%2F065%2F30, friendlyName=Municipal report index</x:v>
      </x:c>
      <x:c r="V98" s="24" t="e">
        <x:f>HYPERLINK("https://files.illinoiscomptroller.gov/LocGovTIF/FY2025/05306530/25TIF05306530TIF_1_1.pdf#page=3","Financial source")</x:f>
        <x:v>HYPERLINK is not implemented. linkLocation=https://files.illinoiscomptroller.gov/LocGovTIF/FY2025/05306530/25TIF05306530TIF_1_1.pdf#page=3, friendlyName=Financial source</x:v>
      </x:c>
      <x:c r="W98" s="24" t="str">
        <x:v>Municipal TIF annual report, section 3.1, current-year Property Tax Increment. FY 2025</x:v>
      </x:c>
      <x:c r="X98" s="24" t="e">
        <x:f>HYPERLINK("https://www.ilga.gov/ftp/Public%20Acts/102/102-1113.htm","Name source")</x:f>
        <x:v>HYPERLINK is not implemented. linkLocation=https://www.ilga.gov/ftp/Public%20Acts/102/102-1113.htm, friendlyName=Name source</x:v>
      </x:c>
      <x:c r="Y98" s="1" t="n">
        <x:v>1</x:v>
      </x:c>
      <x:c r="Z98" s="1"/>
      <x:c r="AA98" s="1"/>
    </x:row>
    <x:row r="99" ht="54" customHeight="1">
      <x:c r="A99" s="12" t="n">
        <x:v>92</x:v>
      </x:c>
      <x:c r="B99" s="12" t="str">
        <x:v>SB 1595</x:v>
      </x:c>
      <x:c r="C99" s="12" t="str">
        <x:v>102-1113</x:v>
      </x:c>
      <x:c r="D99" s="17" t="d">
        <x:v>2022-12-21T00:00:00.000Z</x:v>
      </x:c>
      <x:c r="E99" s="18" t="str">
        <x:v>Pontiac</x:v>
      </x:c>
      <x:c r="F99" s="13" t="str">
        <x:v>TIF II (the Interstate TIF)</x:v>
      </x:c>
      <x:c r="G99" s="15" t="d">
        <x:v>1986-12-29T00:00:00.000Z</x:v>
      </x:c>
      <x:c r="H99" s="19" t="n">
        <x:v>35</x:v>
      </x:c>
      <x:c r="I99" s="19" t="n">
        <x:v>47</x:v>
      </x:c>
      <x:c r="J99" s="19" t="n">
        <x:v>12</x:v>
      </x:c>
      <x:c r="K99" s="19" t="str">
        <x:v>f-5(16)</x:v>
      </x:c>
      <x:c r="L99" s="12" t="str">
        <x:v>Fiscal year 2025</x:v>
      </x:c>
      <x:c r="M99" s="23" t="n">
        <x:v>2379993</x:v>
      </x:c>
      <x:c r="N99" s="22" t="n">
        <x:f>IF(ISNUMBER(M99),M99*J99,"")</x:f>
        <x:v>28559916</x:v>
      </x:c>
      <x:c r="O99" s="13" t="str">
        <x:v>Not determinable from extension law / TIF receipts alone</x:v>
      </x:c>
      <x:c r="P99" s="13" t="str"/>
      <x:c r="Q99" s="12" t="str"/>
      <x:c r="R99" s="24" t="e">
        <x:f>HYPERLINK("https://www.ilga.gov/ftp/Public%20Acts/102/102-1113.htm","Signed Public Act")</x:f>
        <x:v>HYPERLINK is not implemented. linkLocation=https://www.ilga.gov/ftp/Public%20Acts/102/102-1113.htm, friendlyName=Signed Public Act</x:v>
      </x:c>
      <x:c r="S99" s="24" t="e">
        <x:f>HYPERLINK("https://legiscan.com/IL/bill/SB1595/2021","Signing history")</x:f>
        <x:v>HYPERLINK is not implemented. linkLocation=https://legiscan.com/IL/bill/SB1595/2021, friendlyName=Signing history</x:v>
      </x:c>
      <x:c r="T99" s="24" t="e">
        <x:f>HYPERLINK("https://files.illinoiscomptroller.gov/LocGovTIF/FY2025/05306530/25TIF05306530TIF_2_1.pdf","TIF annual reporting")</x:f>
        <x:v>HYPERLINK is not implemented. linkLocation=https://files.illinoiscomptroller.gov/LocGovTIF/FY2025/05306530/25TIF05306530TIF_2_1.pdf, friendlyName=TIF annual reporting</x:v>
      </x:c>
      <x:c r="U99" s="24" t="e">
        <x:f>HYPERLINK("https://illinoiscomptroller.gov/constituent-services/local-government/local-government-warehouse/landingpage?code=053%2F065%2F30","Municipal report index")</x:f>
        <x:v>HYPERLINK is not implemented. linkLocation=https://illinoiscomptroller.gov/constituent-services/local-government/local-government-warehouse/landingpage?code=053%2F065%2F30, friendlyName=Municipal report index</x:v>
      </x:c>
      <x:c r="V99" s="24" t="e">
        <x:f>HYPERLINK("https://files.illinoiscomptroller.gov/LocGovTIF/FY2025/05306530/25TIF05306530TIF_2_1.pdf#page=3","Financial source")</x:f>
        <x:v>HYPERLINK is not implemented. linkLocation=https://files.illinoiscomptroller.gov/LocGovTIF/FY2025/05306530/25TIF05306530TIF_2_1.pdf#page=3, friendlyName=Financial source</x:v>
      </x:c>
      <x:c r="W99" s="24" t="str">
        <x:v>Municipal TIF annual report, section 3.1, current-year Property Tax Increment. FY 2025</x:v>
      </x:c>
      <x:c r="X99" s="24" t="e">
        <x:f>HYPERLINK("https://www.ilga.gov/ftp/Public%20Acts/102/102-1113.htm","Name source")</x:f>
        <x:v>HYPERLINK is not implemented. linkLocation=https://www.ilga.gov/ftp/Public%20Acts/102/102-1113.htm, friendlyName=Name source</x:v>
      </x:c>
      <x:c r="Y99" s="1" t="n">
        <x:v>1</x:v>
      </x:c>
      <x:c r="Z99" s="1"/>
      <x:c r="AA99" s="1"/>
    </x:row>
    <x:row r="100" ht="54" customHeight="1">
      <x:c r="A100" s="12" t="n">
        <x:v>93</x:v>
      </x:c>
      <x:c r="B100" s="12" t="str">
        <x:v>HB 2518</x:v>
      </x:c>
      <x:c r="C100" s="12" t="str">
        <x:v>103-0315</x:v>
      </x:c>
      <x:c r="D100" s="17" t="d">
        <x:v>2023-07-28T00:00:00.000Z</x:v>
      </x:c>
      <x:c r="E100" s="18" t="str">
        <x:v>Channahon</x:v>
      </x:c>
      <x:c r="F100" s="13" t="str">
        <x:v>Ni GAS RPA</x:v>
      </x:c>
      <x:c r="G100" s="15" t="d">
        <x:v>1999-02-15T00:00:00.000Z</x:v>
      </x:c>
      <x:c r="H100" s="19" t="n">
        <x:v>23</x:v>
      </x:c>
      <x:c r="I100" s="19" t="n">
        <x:v>35</x:v>
      </x:c>
      <x:c r="J100" s="19" t="n">
        <x:v>12</x:v>
      </x:c>
      <x:c r="K100" s="19" t="str">
        <x:v>c(247)</x:v>
      </x:c>
      <x:c r="L100" s="12" t="str">
        <x:v>Fiscal year 2025</x:v>
      </x:c>
      <x:c r="M100" s="23" t="n">
        <x:v>12180339</x:v>
      </x:c>
      <x:c r="N100" s="22" t="n">
        <x:f>IF(ISNUMBER(M100),M100*J100,"")</x:f>
        <x:v>146164068</x:v>
      </x:c>
      <x:c r="O100" s="13" t="str">
        <x:v>Not determinable from extension law / TIF receipts alone</x:v>
      </x:c>
      <x:c r="P100" s="13" t="str"/>
      <x:c r="Q100" s="12" t="str"/>
      <x:c r="R100" s="24" t="e">
        <x:f>HYPERLINK("https://www.ilga.gov/ftp/Public%20Acts/103/103-0315.htm","Signed Public Act")</x:f>
        <x:v>HYPERLINK is not implemented. linkLocation=https://www.ilga.gov/ftp/Public%20Acts/103/103-0315.htm, friendlyName=Signed Public Act</x:v>
      </x:c>
      <x:c r="S100" s="24" t="e">
        <x:f>HYPERLINK("https://legiscan.com/IL/bill/HB2518/2023","Signing history")</x:f>
        <x:v>HYPERLINK is not implemented. linkLocation=https://legiscan.com/IL/bill/HB2518/2023, friendlyName=Signing history</x:v>
      </x:c>
      <x:c r="T100" s="24" t="e">
        <x:f>HYPERLINK("https://files.illinoiscomptroller.gov/LocGovTIF/FY2025/09902532/25TIF09902532Ni_GAS_RPA_1.pdf","TIF annual reporting")</x:f>
        <x:v>HYPERLINK is not implemented. linkLocation=https://files.illinoiscomptroller.gov/LocGovTIF/FY2025/09902532/25TIF09902532Ni_GAS_RPA_1.pdf, friendlyName=TIF annual reporting</x:v>
      </x:c>
      <x:c r="U100" s="24" t="e">
        <x:f>HYPERLINK("https://illinoiscomptroller.gov/constituent-services/local-government/local-government-warehouse/landingpage?code=099%2F025%2F32","Municipal report index")</x:f>
        <x:v>HYPERLINK is not implemented. linkLocation=https://illinoiscomptroller.gov/constituent-services/local-government/local-government-warehouse/landingpage?code=099%2F025%2F32, friendlyName=Municipal report index</x:v>
      </x:c>
      <x:c r="V100" s="24" t="e">
        <x:f>HYPERLINK("https://files.illinoiscomptroller.gov/LocGovTIF/FY2025/09902532/25TIF09902532Ni_GAS_RPA_1.pdf#page=3","Financial source")</x:f>
        <x:v>HYPERLINK is not implemented. linkLocation=https://files.illinoiscomptroller.gov/LocGovTIF/FY2025/09902532/25TIF09902532Ni_GAS_RPA_1.pdf#page=3, friendlyName=Financial source</x:v>
      </x:c>
      <x:c r="W100" s="24" t="str">
        <x:v>Municipal TIF annual report, section 3.1, current-year Property Tax Increment. FY 2025</x:v>
      </x:c>
      <x:c r="X100" s="24" t="e">
        <x:f>HYPERLINK("https://files.illinoiscomptroller.gov/LocGovTIF/FY2025/09902532/25TIF09902532Ni_GAS_RPA_1.pdf","Name source")</x:f>
        <x:v>HYPERLINK is not implemented. linkLocation=https://files.illinoiscomptroller.gov/LocGovTIF/FY2025/09902532/25TIF09902532Ni_GAS_RPA_1.pdf, friendlyName=Name source</x:v>
      </x:c>
      <x:c r="Y100" s="1" t="n">
        <x:v>1</x:v>
      </x:c>
      <x:c r="Z100" s="1"/>
      <x:c r="AA100" s="1"/>
    </x:row>
    <x:row r="101" ht="54" customHeight="1">
      <x:c r="A101" s="12" t="n">
        <x:v>94</x:v>
      </x:c>
      <x:c r="B101" s="12" t="str">
        <x:v>HB 2518</x:v>
      </x:c>
      <x:c r="C101" s="12" t="str">
        <x:v>103-0315</x:v>
      </x:c>
      <x:c r="D101" s="17" t="d">
        <x:v>2023-07-28T00:00:00.000Z</x:v>
      </x:c>
      <x:c r="E101" s="18" t="str">
        <x:v>Peoria</x:v>
      </x:c>
      <x:c r="F101" s="13" t="str">
        <x:v>Downtown Stadium TIF</x:v>
      </x:c>
      <x:c r="G101" s="15" t="d">
        <x:v>2000-12-19T00:00:00.000Z</x:v>
      </x:c>
      <x:c r="H101" s="19" t="n">
        <x:v>23</x:v>
      </x:c>
      <x:c r="I101" s="19" t="n">
        <x:v>35</x:v>
      </x:c>
      <x:c r="J101" s="19" t="n">
        <x:v>12</x:v>
      </x:c>
      <x:c r="K101" s="19" t="str">
        <x:v>c(248)</x:v>
      </x:c>
      <x:c r="L101" s="12" t="str">
        <x:v>Fiscal year 2025</x:v>
      </x:c>
      <x:c r="M101" s="23" t="n">
        <x:v>108716</x:v>
      </x:c>
      <x:c r="N101" s="22" t="n">
        <x:f>IF(ISNUMBER(M101),M101*J101,"")</x:f>
        <x:v>1304592</x:v>
      </x:c>
      <x:c r="O101" s="13" t="str">
        <x:v>Not determinable from extension law / TIF receipts alone</x:v>
      </x:c>
      <x:c r="P101" s="13" t="str"/>
      <x:c r="Q101" s="12" t="str"/>
      <x:c r="R101" s="24" t="e">
        <x:f>HYPERLINK("https://www.ilga.gov/ftp/Public%20Acts/103/103-0315.htm","Signed Public Act")</x:f>
        <x:v>HYPERLINK is not implemented. linkLocation=https://www.ilga.gov/ftp/Public%20Acts/103/103-0315.htm, friendlyName=Signed Public Act</x:v>
      </x:c>
      <x:c r="S101" s="24" t="e">
        <x:f>HYPERLINK("https://legiscan.com/IL/bill/HB2518/2023","Signing history")</x:f>
        <x:v>HYPERLINK is not implemented. linkLocation=https://legiscan.com/IL/bill/HB2518/2023, friendlyName=Signing history</x:v>
      </x:c>
      <x:c r="T101" s="24" t="e">
        <x:f>HYPERLINK("https://files.illinoiscomptroller.gov/LocGovTIF/FY2025/07206530/25TIF07206530Downstown_Stadium_1.pdf","TIF annual reporting")</x:f>
        <x:v>HYPERLINK is not implemented. linkLocation=https://files.illinoiscomptroller.gov/LocGovTIF/FY2025/07206530/25TIF07206530Downstown_Stadium_1.pdf, friendlyName=TIF annual reporting</x:v>
      </x:c>
      <x:c r="U101" s="24" t="e">
        <x:f>HYPERLINK("https://illinoiscomptroller.gov/constituent-services/local-government/local-government-warehouse/landingpage?code=072%2F065%2F30","Municipal report index")</x:f>
        <x:v>HYPERLINK is not implemented. linkLocation=https://illinoiscomptroller.gov/constituent-services/local-government/local-government-warehouse/landingpage?code=072%2F065%2F30, friendlyName=Municipal report index</x:v>
      </x:c>
      <x:c r="V101" s="24" t="e">
        <x:f>HYPERLINK("https://files.illinoiscomptroller.gov/LocGovTIF/FY2025/07206530/25TIF07206530Downstown_Stadium_1.pdf#page=3","Financial source")</x:f>
        <x:v>HYPERLINK is not implemented. linkLocation=https://files.illinoiscomptroller.gov/LocGovTIF/FY2025/07206530/25TIF07206530Downstown_Stadium_1.pdf#page=3, friendlyName=Financial source</x:v>
      </x:c>
      <x:c r="W101" s="24" t="str">
        <x:v>Municipal TIF annual report, section 3.1, current-year Property Tax Increment. FY 2025</x:v>
      </x:c>
      <x:c r="X101" s="24" t="e">
        <x:f>HYPERLINK("https://files.illinoiscomptroller.gov/LocGovTIF/FY2025/07206530/25TIF07206530Downstown_Stadium_1.pdf","Name source")</x:f>
        <x:v>HYPERLINK is not implemented. linkLocation=https://files.illinoiscomptroller.gov/LocGovTIF/FY2025/07206530/25TIF07206530Downstown_Stadium_1.pdf, friendlyName=Name source</x:v>
      </x:c>
      <x:c r="Y101" s="1" t="n">
        <x:v>1</x:v>
      </x:c>
      <x:c r="Z101" s="1"/>
      <x:c r="AA101" s="1"/>
    </x:row>
    <x:row r="102" ht="54" customHeight="1">
      <x:c r="A102" s="12" t="n">
        <x:v>95</x:v>
      </x:c>
      <x:c r="B102" s="12" t="str">
        <x:v>HB 2518</x:v>
      </x:c>
      <x:c r="C102" s="12" t="str">
        <x:v>103-0315</x:v>
      </x:c>
      <x:c r="D102" s="17" t="d">
        <x:v>2023-07-28T00:00:00.000Z</x:v>
      </x:c>
      <x:c r="E102" s="18" t="str">
        <x:v>Rock Island</x:v>
      </x:c>
      <x:c r="F102" s="13" t="str">
        <x:v>North 11th Street redevelopment project area</x:v>
      </x:c>
      <x:c r="G102" s="15" t="d">
        <x:v>2000-07-24T00:00:00.000Z</x:v>
      </x:c>
      <x:c r="H102" s="19" t="n">
        <x:v>23</x:v>
      </x:c>
      <x:c r="I102" s="19" t="n">
        <x:v>35</x:v>
      </x:c>
      <x:c r="J102" s="19" t="n">
        <x:v>12</x:v>
      </x:c>
      <x:c r="K102" s="19" t="str">
        <x:v>c(249)</x:v>
      </x:c>
      <x:c r="L102" s="12" t="str">
        <x:v>Fiscal year 2025</x:v>
      </x:c>
      <x:c r="M102" s="23" t="n">
        <x:v>0</x:v>
      </x:c>
      <x:c r="N102" s="22" t="n">
        <x:f>IF(ISNUMBER(M102),M102*J102,"")</x:f>
        <x:v>0</x:v>
      </x:c>
      <x:c r="O102" s="13" t="str">
        <x:v>Not determinable from extension law / TIF receipts alone</x:v>
      </x:c>
      <x:c r="P102" s="13" t="str"/>
      <x:c r="Q102" s="12" t="str"/>
      <x:c r="R102" s="24" t="e">
        <x:f>HYPERLINK("https://www.ilga.gov/ftp/Public%20Acts/103/103-0315.htm","Signed Public Act")</x:f>
        <x:v>HYPERLINK is not implemented. linkLocation=https://www.ilga.gov/ftp/Public%20Acts/103/103-0315.htm, friendlyName=Signed Public Act</x:v>
      </x:c>
      <x:c r="S102" s="24" t="e">
        <x:f>HYPERLINK("https://legiscan.com/IL/bill/HB2518/2023","Signing history")</x:f>
        <x:v>HYPERLINK is not implemented. linkLocation=https://legiscan.com/IL/bill/HB2518/2023, friendlyName=Signing history</x:v>
      </x:c>
      <x:c r="T102" s="24" t="e">
        <x:f>HYPERLINK("https://files.illinoiscomptroller.gov/LocGovTIF/FY2025/08107530/25TIF08107530Rock_Isla_Street__1.pdf","TIF annual reporting")</x:f>
        <x:v>HYPERLINK is not implemented. linkLocation=https://files.illinoiscomptroller.gov/LocGovTIF/FY2025/08107530/25TIF08107530Rock_Isla_Street__1.pdf, friendlyName=TIF annual reporting</x:v>
      </x:c>
      <x:c r="U102" s="24" t="e">
        <x:f>HYPERLINK("https://illinoiscomptroller.gov/constituent-services/local-government/local-government-warehouse/landingpage?code=081%2F075%2F30","Municipal report index")</x:f>
        <x:v>HYPERLINK is not implemented. linkLocation=https://illinoiscomptroller.gov/constituent-services/local-government/local-government-warehouse/landingpage?code=081%2F075%2F30, friendlyName=Municipal report index</x:v>
      </x:c>
      <x:c r="V102" s="24" t="e">
        <x:f>HYPERLINK("https://files.illinoiscomptroller.gov/LocGovTIF/FY2025/08107530/25TIF08107530Rock_Isla_Street__1.pdf#page=3","Financial source")</x:f>
        <x:v>HYPERLINK is not implemented. linkLocation=https://files.illinoiscomptroller.gov/LocGovTIF/FY2025/08107530/25TIF08107530Rock_Isla_Street__1.pdf#page=3, friendlyName=Financial source</x:v>
      </x:c>
      <x:c r="W102" s="24" t="str">
        <x:v>Municipal TIF annual report, section 3.1, current-year Property Tax Increment. FY 2025</x:v>
      </x:c>
      <x:c r="X102" s="24" t="e">
        <x:f>HYPERLINK("https://www.ilga.gov/ftp/Public%20Acts/103/103-0315.htm","Name source")</x:f>
        <x:v>HYPERLINK is not implemented. linkLocation=https://www.ilga.gov/ftp/Public%20Acts/103/103-0315.htm, friendlyName=Name source</x:v>
      </x:c>
      <x:c r="Y102" s="1" t="n">
        <x:v>1</x:v>
      </x:c>
      <x:c r="Z102" s="1"/>
      <x:c r="AA102" s="1"/>
    </x:row>
    <x:row r="103" ht="54" customHeight="1">
      <x:c r="A103" s="12" t="n">
        <x:v>96</x:v>
      </x:c>
      <x:c r="B103" s="12" t="str">
        <x:v>HB 2518</x:v>
      </x:c>
      <x:c r="C103" s="12" t="str">
        <x:v>103-0315</x:v>
      </x:c>
      <x:c r="D103" s="17" t="d">
        <x:v>2023-07-28T00:00:00.000Z</x:v>
      </x:c>
      <x:c r="E103" s="18" t="str">
        <x:v>Champaign</x:v>
      </x:c>
      <x:c r="F103" s="13" t="str">
        <x:v>North Campustown TIF</x:v>
      </x:c>
      <x:c r="G103" s="15" t="d">
        <x:v>2002-02-05T00:00:00.000Z</x:v>
      </x:c>
      <x:c r="H103" s="19" t="n">
        <x:v>23</x:v>
      </x:c>
      <x:c r="I103" s="19" t="n">
        <x:v>35</x:v>
      </x:c>
      <x:c r="J103" s="19" t="n">
        <x:v>12</x:v>
      </x:c>
      <x:c r="K103" s="19" t="str">
        <x:v>c(250)</x:v>
      </x:c>
      <x:c r="L103" s="12" t="str">
        <x:v>Fiscal year 2025</x:v>
      </x:c>
      <x:c r="M103" s="23" t="n">
        <x:v>4384007</x:v>
      </x:c>
      <x:c r="N103" s="22" t="n">
        <x:f>IF(ISNUMBER(M103),M103*J103,"")</x:f>
        <x:v>52608084</x:v>
      </x:c>
      <x:c r="O103" s="13" t="str">
        <x:v>Not determinable from extension law / TIF receipts alone</x:v>
      </x:c>
      <x:c r="P103" s="13" t="str"/>
      <x:c r="Q103" s="12" t="str"/>
      <x:c r="R103" s="24" t="e">
        <x:f>HYPERLINK("https://www.ilga.gov/ftp/Public%20Acts/103/103-0315.htm","Signed Public Act")</x:f>
        <x:v>HYPERLINK is not implemented. linkLocation=https://www.ilga.gov/ftp/Public%20Acts/103/103-0315.htm, friendlyName=Signed Public Act</x:v>
      </x:c>
      <x:c r="S103" s="24" t="e">
        <x:f>HYPERLINK("https://legiscan.com/IL/bill/HB2518/2023","Signing history")</x:f>
        <x:v>HYPERLINK is not implemented. linkLocation=https://legiscan.com/IL/bill/HB2518/2023, friendlyName=Signing history</x:v>
      </x:c>
      <x:c r="T103" s="24" t="e">
        <x:f>HYPERLINK("https://files.illinoiscomptroller.gov/LocGovTIF/FY2025/01002030/25TIF01002030North_Campustown_1.pdf","TIF annual reporting")</x:f>
        <x:v>HYPERLINK is not implemented. linkLocation=https://files.illinoiscomptroller.gov/LocGovTIF/FY2025/01002030/25TIF01002030North_Campustown_1.pdf, friendlyName=TIF annual reporting</x:v>
      </x:c>
      <x:c r="U103" s="24" t="e">
        <x:f>HYPERLINK("https://illinoiscomptroller.gov/constituent-services/local-government/local-government-warehouse/landingpage?code=010%2F020%2F30","Municipal report index")</x:f>
        <x:v>HYPERLINK is not implemented. linkLocation=https://illinoiscomptroller.gov/constituent-services/local-government/local-government-warehouse/landingpage?code=010%2F020%2F30, friendlyName=Municipal report index</x:v>
      </x:c>
      <x:c r="V103" s="24" t="e">
        <x:f>HYPERLINK("https://files.illinoiscomptroller.gov/LocGovTIF/FY2025/01002030/25TIF01002030North_Campustown_1.pdf#page=3","Financial source")</x:f>
        <x:v>HYPERLINK is not implemented. linkLocation=https://files.illinoiscomptroller.gov/LocGovTIF/FY2025/01002030/25TIF01002030North_Campustown_1.pdf#page=3, friendlyName=Financial source</x:v>
      </x:c>
      <x:c r="W103" s="24" t="str">
        <x:v>Municipal TIF annual report, section 3.1, current-year Property Tax Increment. FY 2025</x:v>
      </x:c>
      <x:c r="X103" s="24" t="e">
        <x:f>HYPERLINK("https://www.ilga.gov/ftp/Public%20Acts/103/103-0315.htm","Name source")</x:f>
        <x:v>HYPERLINK is not implemented. linkLocation=https://www.ilga.gov/ftp/Public%20Acts/103/103-0315.htm, friendlyName=Name source</x:v>
      </x:c>
      <x:c r="Y103" s="1" t="n">
        <x:v>1</x:v>
      </x:c>
      <x:c r="Z103" s="1"/>
      <x:c r="AA103" s="1"/>
    </x:row>
    <x:row r="104" ht="54" customHeight="1">
      <x:c r="A104" s="12" t="n">
        <x:v>97</x:v>
      </x:c>
      <x:c r="B104" s="12" t="str">
        <x:v>HB 2518</x:v>
      </x:c>
      <x:c r="C104" s="12" t="str">
        <x:v>103-0315</x:v>
      </x:c>
      <x:c r="D104" s="17" t="d">
        <x:v>2023-07-28T00:00:00.000Z</x:v>
      </x:c>
      <x:c r="E104" s="18" t="str">
        <x:v>Evergreen Park</x:v>
      </x:c>
      <x:c r="F104" s="13" t="str">
        <x:v>95th Street TIF</x:v>
      </x:c>
      <x:c r="G104" s="15" t="d">
        <x:v>2000-11-20T00:00:00.000Z</x:v>
      </x:c>
      <x:c r="H104" s="19" t="n">
        <x:v>23</x:v>
      </x:c>
      <x:c r="I104" s="19" t="n">
        <x:v>35</x:v>
      </x:c>
      <x:c r="J104" s="19" t="n">
        <x:v>12</x:v>
      </x:c>
      <x:c r="K104" s="19" t="str">
        <x:v>c(251)</x:v>
      </x:c>
      <x:c r="L104" s="12" t="str">
        <x:v>Tax year 2024</x:v>
      </x:c>
      <x:c r="M104" s="23" t="n">
        <x:v>1521576.17</x:v>
      </x:c>
      <x:c r="N104" s="22" t="n">
        <x:f>IF(ISNUMBER(M104),M104*J104,"")</x:f>
        <x:v>18258914.04</x:v>
      </x:c>
      <x:c r="O104" s="13" t="str">
        <x:v>Not determinable from extension law / TIF receipts alone</x:v>
      </x:c>
      <x:c r="P104" s="13" t="str"/>
      <x:c r="Q104" s="12" t="str"/>
      <x:c r="R104" s="24" t="e">
        <x:f>HYPERLINK("https://www.ilga.gov/ftp/Public%20Acts/103/103-0315.htm","Signed Public Act")</x:f>
        <x:v>HYPERLINK is not implemented. linkLocation=https://www.ilga.gov/ftp/Public%20Acts/103/103-0315.htm, friendlyName=Signed Public Act</x:v>
      </x:c>
      <x:c r="S104" s="24" t="e">
        <x:f>HYPERLINK("https://legiscan.com/IL/bill/HB2518/2023","Signing history")</x:f>
        <x:v>HYPERLINK is not implemented. linkLocation=https://legiscan.com/IL/bill/HB2518/2023, friendlyName=Signing history</x:v>
      </x:c>
      <x:c r="T104" s="24" t="e">
        <x:f>HYPERLINK("https://files.illinoiscomptroller.gov/LocGovTIF/FY2025/01618032/25TIF0161803295th_Street_TIF__1.pdf","TIF annual reporting")</x:f>
        <x:v>HYPERLINK is not implemented. linkLocation=https://files.illinoiscomptroller.gov/LocGovTIF/FY2025/01618032/25TIF0161803295th_Street_TIF__1.pdf, friendlyName=TIF annual reporting</x:v>
      </x:c>
      <x:c r="U104" s="24" t="e">
        <x:f>HYPERLINK("https://illinoiscomptroller.gov/constituent-services/local-government/local-government-warehouse/landingpage?code=016%2F180%2F32","Municipal report index")</x:f>
        <x:v>HYPERLINK is not implemented. linkLocation=https://illinoiscomptroller.gov/constituent-services/local-government/local-government-warehouse/landingpage?code=016%2F180%2F32, friendlyName=Municipal report index</x:v>
      </x:c>
      <x:c r="V104" s="24" t="e">
        <x:f>HYPERLINK("https://news.wttw.com/sites/default/files/article/file-attachments/2024-tif-report.pdf#page=48","Financial source")</x:f>
        <x:v>HYPERLINK is not implemented. linkLocation=https://news.wttw.com/sites/default/files/article/file-attachments/2024-tif-report.pdf#page=48, friendlyName=Financial source</x:v>
      </x:c>
      <x:c r="W104" s="24" t="str">
        <x:v>Cook County Clerk 2024 TIF report; 03-0390-502; Evergreen Park - 95th Street; PDF page 48</x:v>
      </x:c>
      <x:c r="X104" s="24" t="e">
        <x:f>HYPERLINK("https://files.illinoiscomptroller.gov/LocGovTIF/FY2025/01618032/25TIF0161803295th_Street_TIF__1.pdf","Name source")</x:f>
        <x:v>HYPERLINK is not implemented. linkLocation=https://files.illinoiscomptroller.gov/LocGovTIF/FY2025/01618032/25TIF0161803295th_Street_TIF__1.pdf, friendlyName=Name source</x:v>
      </x:c>
      <x:c r="Y104" s="1" t="n">
        <x:v>1</x:v>
      </x:c>
      <x:c r="Z104" s="1"/>
      <x:c r="AA104" s="1"/>
    </x:row>
    <x:row r="105" ht="54" customHeight="1">
      <x:c r="A105" s="12" t="n">
        <x:v>98</x:v>
      </x:c>
      <x:c r="B105" s="12" t="str">
        <x:v>HB 2518</x:v>
      </x:c>
      <x:c r="C105" s="12" t="str">
        <x:v>103-0315</x:v>
      </x:c>
      <x:c r="D105" s="17" t="d">
        <x:v>2023-07-28T00:00:00.000Z</x:v>
      </x:c>
      <x:c r="E105" s="18" t="str">
        <x:v>Chicago</x:v>
      </x:c>
      <x:c r="F105" s="13" t="str">
        <x:v>Fullerton/Milwaukee redevelopment project area</x:v>
      </x:c>
      <x:c r="G105" s="15" t="d">
        <x:v>2000-02-16T00:00:00.000Z</x:v>
      </x:c>
      <x:c r="H105" s="19" t="n">
        <x:v>23</x:v>
      </x:c>
      <x:c r="I105" s="19" t="n">
        <x:v>35</x:v>
      </x:c>
      <x:c r="J105" s="19" t="n">
        <x:v>12</x:v>
      </x:c>
      <x:c r="K105" s="19" t="str">
        <x:v>c(252)</x:v>
      </x:c>
      <x:c r="L105" s="12" t="str">
        <x:v>Tax year 2024</x:v>
      </x:c>
      <x:c r="M105" s="23" t="n">
        <x:v>22901222.22</x:v>
      </x:c>
      <x:c r="N105" s="22" t="n">
        <x:f>IF(ISNUMBER(M105),M105*J105,"")</x:f>
        <x:v>274814666.64</x:v>
      </x:c>
      <x:c r="O105" s="13" t="str">
        <x:v>Not determinable from extension law / TIF receipts alone</x:v>
      </x:c>
      <x:c r="P105" s="13" t="str"/>
      <x:c r="Q105" s="12" t="str"/>
      <x:c r="R105" s="24" t="e">
        <x:f>HYPERLINK("https://www.ilga.gov/ftp/Public%20Acts/103/103-0315.htm","Signed Public Act")</x:f>
        <x:v>HYPERLINK is not implemented. linkLocation=https://www.ilga.gov/ftp/Public%20Acts/103/103-0315.htm, friendlyName=Signed Public Act</x:v>
      </x:c>
      <x:c r="S105" s="24" t="e">
        <x:f>HYPERLINK("https://legiscan.com/IL/bill/HB2518/2023","Signing history")</x:f>
        <x:v>HYPERLINK is not implemented. linkLocation=https://legiscan.com/IL/bill/HB2518/2023, friendlyName=Signing history</x:v>
      </x:c>
      <x:c r="T105"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05"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05" s="24" t="e">
        <x:f>HYPERLINK("https://news.wttw.com/sites/default/files/article/file-attachments/2024-tif-report.pdf#page=40","Financial source")</x:f>
        <x:v>HYPERLINK is not implemented. linkLocation=https://news.wttw.com/sites/default/files/article/file-attachments/2024-tif-report.pdf#page=40, friendlyName=Financial source</x:v>
      </x:c>
      <x:c r="W105" s="24" t="str">
        <x:v>Cook County Clerk 2024 TIF report; 03-0210-549; Chicago - Fullerton / Milwaukee; PDF page 40</x:v>
      </x:c>
      <x:c r="X105" s="24" t="e">
        <x:f>HYPERLINK("https://www.ilga.gov/ftp/Public%20Acts/103/103-0315.htm","Name source")</x:f>
        <x:v>HYPERLINK is not implemented. linkLocation=https://www.ilga.gov/ftp/Public%20Acts/103/103-0315.htm, friendlyName=Name source</x:v>
      </x:c>
      <x:c r="Y105" s="1" t="n">
        <x:v>1</x:v>
      </x:c>
      <x:c r="Z105" s="1"/>
      <x:c r="AA105" s="1"/>
    </x:row>
    <x:row r="106" ht="54" customHeight="1">
      <x:c r="A106" s="12" t="n">
        <x:v>99</x:v>
      </x:c>
      <x:c r="B106" s="12" t="str">
        <x:v>HB 2518</x:v>
      </x:c>
      <x:c r="C106" s="12" t="str">
        <x:v>103-0315</x:v>
      </x:c>
      <x:c r="D106" s="17" t="d">
        <x:v>2023-07-28T00:00:00.000Z</x:v>
      </x:c>
      <x:c r="E106" s="18" t="str">
        <x:v>Sparta</x:v>
      </x:c>
      <x:c r="F106" s="13" t="str">
        <x:v>TIF #1</x:v>
      </x:c>
      <x:c r="G106" s="15" t="d">
        <x:v>1986-12-23T00:00:00.000Z</x:v>
      </x:c>
      <x:c r="H106" s="19" t="n">
        <x:v>35</x:v>
      </x:c>
      <x:c r="I106" s="19" t="n">
        <x:v>47</x:v>
      </x:c>
      <x:c r="J106" s="19" t="n">
        <x:v>12</x:v>
      </x:c>
      <x:c r="K106" s="19" t="str">
        <x:v>f-5(17)</x:v>
      </x:c>
      <x:c r="L106" s="12" t="str">
        <x:v>Fiscal year 2025</x:v>
      </x:c>
      <x:c r="M106" s="23" t="n">
        <x:v>981214</x:v>
      </x:c>
      <x:c r="N106" s="22" t="n">
        <x:f>IF(ISNUMBER(M106),M106*J106,"")</x:f>
        <x:v>11774568</x:v>
      </x:c>
      <x:c r="O106" s="13" t="str">
        <x:v>Not determinable from extension law / TIF receipts alone</x:v>
      </x:c>
      <x:c r="P106" s="13" t="str"/>
      <x:c r="Q106" s="12" t="str"/>
      <x:c r="R106" s="24" t="e">
        <x:f>HYPERLINK("https://www.ilga.gov/ftp/Public%20Acts/103/103-0315.htm","Signed Public Act")</x:f>
        <x:v>HYPERLINK is not implemented. linkLocation=https://www.ilga.gov/ftp/Public%20Acts/103/103-0315.htm, friendlyName=Signed Public Act</x:v>
      </x:c>
      <x:c r="S106" s="24" t="e">
        <x:f>HYPERLINK("https://legiscan.com/IL/bill/HB2518/2023","Signing history")</x:f>
        <x:v>HYPERLINK is not implemented. linkLocation=https://legiscan.com/IL/bill/HB2518/2023, friendlyName=Signing history</x:v>
      </x:c>
      <x:c r="T106" s="24" t="e">
        <x:f>HYPERLINK("https://files.illinoiscomptroller.gov/LocGovTIF/FY2025/07906530/25TIF07906530Tif_1__re_estate__1.pdf","TIF annual reporting")</x:f>
        <x:v>HYPERLINK is not implemented. linkLocation=https://files.illinoiscomptroller.gov/LocGovTIF/FY2025/07906530/25TIF07906530Tif_1__re_estate__1.pdf, friendlyName=TIF annual reporting</x:v>
      </x:c>
      <x:c r="U106" s="24" t="e">
        <x:f>HYPERLINK("https://illinoiscomptroller.gov/constituent-services/local-government/local-government-warehouse/landingpage?code=079%2F065%2F30","Municipal report index")</x:f>
        <x:v>HYPERLINK is not implemented. linkLocation=https://illinoiscomptroller.gov/constituent-services/local-government/local-government-warehouse/landingpage?code=079%2F065%2F30, friendlyName=Municipal report index</x:v>
      </x:c>
      <x:c r="V106" s="24" t="e">
        <x:f>HYPERLINK("https://files.illinoiscomptroller.gov/LocGovTIF/FY2025/07906530/25TIF07906530Tif_1__re_estate__1.pdf#page=3","Financial source")</x:f>
        <x:v>HYPERLINK is not implemented. linkLocation=https://files.illinoiscomptroller.gov/LocGovTIF/FY2025/07906530/25TIF07906530Tif_1__re_estate__1.pdf#page=3, friendlyName=Financial source</x:v>
      </x:c>
      <x:c r="W106" s="24" t="str">
        <x:v>Municipal TIF annual report, section 3.1, current-year Property Tax Increment. FY 2025</x:v>
      </x:c>
      <x:c r="X106" s="24" t="e">
        <x:f>HYPERLINK("https://www.ilga.gov/ftp/Public%20Acts/103/103-0315.htm","Name source")</x:f>
        <x:v>HYPERLINK is not implemented. linkLocation=https://www.ilga.gov/ftp/Public%20Acts/103/103-0315.htm, friendlyName=Name source</x:v>
      </x:c>
      <x:c r="Y106" s="1" t="n">
        <x:v>1</x:v>
      </x:c>
      <x:c r="Z106" s="1"/>
      <x:c r="AA106" s="1"/>
    </x:row>
    <x:row r="107" ht="54" customHeight="1">
      <x:c r="A107" s="12" t="n">
        <x:v>100</x:v>
      </x:c>
      <x:c r="B107" s="12" t="str">
        <x:v>SB 696</x:v>
      </x:c>
      <x:c r="C107" s="12" t="str">
        <x:v>103-0575</x:v>
      </x:c>
      <x:c r="D107" s="17" t="d">
        <x:v>2023-12-08T00:00:00.000Z</x:v>
      </x:c>
      <x:c r="E107" s="18" t="str">
        <x:v>Bourbonnais</x:v>
      </x:c>
      <x:c r="F107" s="13" t="str">
        <x:v>Bourbonnais Industrial Park Conservation Area</x:v>
      </x:c>
      <x:c r="G107" s="15" t="d">
        <x:v>2006-10-23T00:00:00.000Z</x:v>
      </x:c>
      <x:c r="H107" s="19" t="n">
        <x:v>23</x:v>
      </x:c>
      <x:c r="I107" s="19" t="n">
        <x:v>35</x:v>
      </x:c>
      <x:c r="J107" s="19" t="n">
        <x:v>12</x:v>
      </x:c>
      <x:c r="K107" s="19" t="str">
        <x:v>c(253)</x:v>
      </x:c>
      <x:c r="L107" s="12" t="str">
        <x:v>Fiscal year 2025</x:v>
      </x:c>
      <x:c r="M107" s="23" t="n">
        <x:v>1018261</x:v>
      </x:c>
      <x:c r="N107" s="22" t="n">
        <x:f>IF(ISNUMBER(M107),M107*J107,"")</x:f>
        <x:v>12219132</x:v>
      </x:c>
      <x:c r="O107" s="13" t="str">
        <x:v>Not determinable from extension law / TIF receipts alone</x:v>
      </x:c>
      <x:c r="P107" s="13" t="str"/>
      <x:c r="Q107" s="12" t="str"/>
      <x:c r="R107" s="24" t="e">
        <x:f>HYPERLINK("https://www.ilga.gov/ftp/Public%20Acts/103/103-0575.htm","Signed Public Act")</x:f>
        <x:v>HYPERLINK is not implemented. linkLocation=https://www.ilga.gov/ftp/Public%20Acts/103/103-0575.htm, friendlyName=Signed Public Act</x:v>
      </x:c>
      <x:c r="S107" s="24" t="e">
        <x:f>HYPERLINK("https://legiscan.com/IL/bill/SB696/2023","Signing history")</x:f>
        <x:v>HYPERLINK is not implemented. linkLocation=https://legiscan.com/IL/bill/SB696/2023, friendlyName=Signing history</x:v>
      </x:c>
      <x:c r="T107" s="24" t="e">
        <x:f>HYPERLINK("https://files.illinoiscomptroller.gov/LocGovTIF/FY2025/04602032/25TIF04602032Bourbonnaion_Area_1.pdf","TIF annual reporting")</x:f>
        <x:v>HYPERLINK is not implemented. linkLocation=https://files.illinoiscomptroller.gov/LocGovTIF/FY2025/04602032/25TIF04602032Bourbonnaion_Area_1.pdf, friendlyName=TIF annual reporting</x:v>
      </x:c>
      <x:c r="U107" s="24" t="e">
        <x:f>HYPERLINK("https://illinoiscomptroller.gov/constituent-services/local-government/local-government-warehouse/landingpage?code=046%2F020%2F32","Municipal report index")</x:f>
        <x:v>HYPERLINK is not implemented. linkLocation=https://illinoiscomptroller.gov/constituent-services/local-government/local-government-warehouse/landingpage?code=046%2F020%2F32, friendlyName=Municipal report index</x:v>
      </x:c>
      <x:c r="V107" s="24" t="e">
        <x:f>HYPERLINK("https://files.illinoiscomptroller.gov/LocGovTIF/FY2025/04602032/25TIF04602032Bourbonnaion_Area_1.pdf#page=3","Financial source")</x:f>
        <x:v>HYPERLINK is not implemented. linkLocation=https://files.illinoiscomptroller.gov/LocGovTIF/FY2025/04602032/25TIF04602032Bourbonnaion_Area_1.pdf#page=3, friendlyName=Financial source</x:v>
      </x:c>
      <x:c r="W107" s="24" t="str">
        <x:v>Municipal TIF annual report, section 3.1, current-year Property Tax Increment. FY 2025</x:v>
      </x:c>
      <x:c r="X107" s="24" t="e">
        <x:f>HYPERLINK("https://www.ilga.gov/ftp/Public%20Acts/103/103-0575.htm","Name source")</x:f>
        <x:v>HYPERLINK is not implemented. linkLocation=https://www.ilga.gov/ftp/Public%20Acts/103/103-0575.htm, friendlyName=Name source</x:v>
      </x:c>
      <x:c r="Y107" s="1" t="n">
        <x:v>1</x:v>
      </x:c>
      <x:c r="Z107" s="1"/>
      <x:c r="AA107" s="1"/>
    </x:row>
    <x:row r="108" ht="54" customHeight="1">
      <x:c r="A108" s="12" t="n">
        <x:v>101</x:v>
      </x:c>
      <x:c r="B108" s="12" t="str">
        <x:v>SB 696</x:v>
      </x:c>
      <x:c r="C108" s="12" t="str">
        <x:v>103-0575</x:v>
      </x:c>
      <x:c r="D108" s="17" t="d">
        <x:v>2023-12-08T00:00:00.000Z</x:v>
      </x:c>
      <x:c r="E108" s="18" t="str">
        <x:v>Geneva</x:v>
      </x:c>
      <x:c r="F108" s="13" t="str">
        <x:v>East State Street redevelopment project area</x:v>
      </x:c>
      <x:c r="G108" s="15" t="d">
        <x:v>2000-02-22T00:00:00.000Z</x:v>
      </x:c>
      <x:c r="H108" s="19" t="n">
        <x:v>23</x:v>
      </x:c>
      <x:c r="I108" s="19" t="n">
        <x:v>35</x:v>
      </x:c>
      <x:c r="J108" s="19" t="n">
        <x:v>12</x:v>
      </x:c>
      <x:c r="K108" s="19" t="str">
        <x:v>c(254)</x:v>
      </x:c>
      <x:c r="L108" s="12" t="str">
        <x:v>Fiscal year 2026</x:v>
      </x:c>
      <x:c r="M108" s="23" t="n">
        <x:v>307997</x:v>
      </x:c>
      <x:c r="N108" s="22" t="n">
        <x:f>IF(ISNUMBER(M108),M108*J108,"")</x:f>
        <x:v>3695964</x:v>
      </x:c>
      <x:c r="O108" s="13" t="str">
        <x:v>Not determinable from extension law / TIF receipts alone</x:v>
      </x:c>
      <x:c r="P108" s="13" t="str"/>
      <x:c r="Q108" s="12" t="str"/>
      <x:c r="R108" s="24" t="e">
        <x:f>HYPERLINK("https://www.ilga.gov/ftp/Public%20Acts/103/103-0575.htm","Signed Public Act")</x:f>
        <x:v>HYPERLINK is not implemented. linkLocation=https://www.ilga.gov/ftp/Public%20Acts/103/103-0575.htm, friendlyName=Signed Public Act</x:v>
      </x:c>
      <x:c r="S108" s="24" t="e">
        <x:f>HYPERLINK("https://legiscan.com/IL/bill/SB696/2023","Signing history")</x:f>
        <x:v>HYPERLINK is not implemented. linkLocation=https://legiscan.com/IL/bill/SB696/2023, friendlyName=Signing history</x:v>
      </x:c>
      <x:c r="T108" s="24" t="e">
        <x:f>HYPERLINK("https://files.illinoiscomptroller.gov/LocGovTIF/FY2026/04504530/26TIF04504530East_State_Street_1.pdf","TIF annual reporting")</x:f>
        <x:v>HYPERLINK is not implemented. linkLocation=https://files.illinoiscomptroller.gov/LocGovTIF/FY2026/04504530/26TIF04504530East_State_Street_1.pdf, friendlyName=TIF annual reporting</x:v>
      </x:c>
      <x:c r="U108" s="24" t="e">
        <x:f>HYPERLINK("https://illinoiscomptroller.gov/constituent-services/local-government/local-government-warehouse/landingpage?code=045%2F045%2F30","Municipal report index")</x:f>
        <x:v>HYPERLINK is not implemented. linkLocation=https://illinoiscomptroller.gov/constituent-services/local-government/local-government-warehouse/landingpage?code=045%2F045%2F30, friendlyName=Municipal report index</x:v>
      </x:c>
      <x:c r="V108" s="24" t="e">
        <x:f>HYPERLINK("https://files.illinoiscomptroller.gov/LocGovTIF/FY2026/04504530/26TIF04504530East_State_Street_1.pdf#page=3","Financial source")</x:f>
        <x:v>HYPERLINK is not implemented. linkLocation=https://files.illinoiscomptroller.gov/LocGovTIF/FY2026/04504530/26TIF04504530East_State_Street_1.pdf#page=3, friendlyName=Financial source</x:v>
      </x:c>
      <x:c r="W108" s="24" t="str">
        <x:v>Municipal TIF annual report, section 3.1, current-year Property Tax Increment. FY 2026</x:v>
      </x:c>
      <x:c r="X108" s="24" t="e">
        <x:f>HYPERLINK("https://www.ilga.gov/ftp/Public%20Acts/103/103-0575.htm","Name source")</x:f>
        <x:v>HYPERLINK is not implemented. linkLocation=https://www.ilga.gov/ftp/Public%20Acts/103/103-0575.htm, friendlyName=Name source</x:v>
      </x:c>
      <x:c r="Y108" s="1" t="n">
        <x:v>1</x:v>
      </x:c>
      <x:c r="Z108" s="1"/>
      <x:c r="AA108" s="1"/>
    </x:row>
    <x:row r="109" ht="54" customHeight="1">
      <x:c r="A109" s="12" t="n">
        <x:v>102</x:v>
      </x:c>
      <x:c r="B109" s="12" t="str">
        <x:v>SB 696</x:v>
      </x:c>
      <x:c r="C109" s="12" t="str">
        <x:v>103-0575</x:v>
      </x:c>
      <x:c r="D109" s="17" t="d">
        <x:v>2023-12-08T00:00:00.000Z</x:v>
      </x:c>
      <x:c r="E109" s="18" t="str">
        <x:v>Downers Grove</x:v>
      </x:c>
      <x:c r="F109" s="13" t="str">
        <x:v>Ogden Avenue redevelopment project area</x:v>
      </x:c>
      <x:c r="G109" s="15" t="d">
        <x:v>2001-02-06T00:00:00.000Z</x:v>
      </x:c>
      <x:c r="H109" s="19" t="n">
        <x:v>23</x:v>
      </x:c>
      <x:c r="I109" s="19" t="n">
        <x:v>35</x:v>
      </x:c>
      <x:c r="J109" s="19" t="n">
        <x:v>12</x:v>
      </x:c>
      <x:c r="K109" s="19" t="str">
        <x:v>c(255)</x:v>
      </x:c>
      <x:c r="L109" s="12" t="str">
        <x:v>Fiscal year 2025</x:v>
      </x:c>
      <x:c r="M109" s="23" t="n">
        <x:v>1607689</x:v>
      </x:c>
      <x:c r="N109" s="22" t="n">
        <x:f>IF(ISNUMBER(M109),M109*J109,"")</x:f>
        <x:v>19292268</x:v>
      </x:c>
      <x:c r="O109" s="13" t="str">
        <x:v>Not determinable from extension law / TIF receipts alone</x:v>
      </x:c>
      <x:c r="P109" s="13" t="str"/>
      <x:c r="Q109" s="12" t="str"/>
      <x:c r="R109" s="24" t="e">
        <x:f>HYPERLINK("https://www.ilga.gov/ftp/Public%20Acts/103/103-0575.htm","Signed Public Act")</x:f>
        <x:v>HYPERLINK is not implemented. linkLocation=https://www.ilga.gov/ftp/Public%20Acts/103/103-0575.htm, friendlyName=Signed Public Act</x:v>
      </x:c>
      <x:c r="S109" s="24" t="e">
        <x:f>HYPERLINK("https://legiscan.com/IL/bill/SB696/2023","Signing history")</x:f>
        <x:v>HYPERLINK is not implemented. linkLocation=https://legiscan.com/IL/bill/SB696/2023, friendlyName=Signing history</x:v>
      </x:c>
      <x:c r="T109" s="24" t="e">
        <x:f>HYPERLINK("https://files.illinoiscomptroller.gov/LocGovTIF/FY2025/02204232/25TIF02204232Ogden_Ave_TIF_1.pdf","TIF annual reporting")</x:f>
        <x:v>HYPERLINK is not implemented. linkLocation=https://files.illinoiscomptroller.gov/LocGovTIF/FY2025/02204232/25TIF02204232Ogden_Ave_TIF_1.pdf, friendlyName=TIF annual reporting</x:v>
      </x:c>
      <x:c r="U109" s="24" t="e">
        <x:f>HYPERLINK("https://illinoiscomptroller.gov/constituent-services/local-government/local-government-warehouse/landingpage?code=022%2F042%2F32","Municipal report index")</x:f>
        <x:v>HYPERLINK is not implemented. linkLocation=https://illinoiscomptroller.gov/constituent-services/local-government/local-government-warehouse/landingpage?code=022%2F042%2F32, friendlyName=Municipal report index</x:v>
      </x:c>
      <x:c r="V109" s="24" t="e">
        <x:f>HYPERLINK("https://files.illinoiscomptroller.gov/LocGovTIF/FY2025/02204232/25TIF02204232Ogden_Ave_TIF_1.pdf#page=3","Financial source")</x:f>
        <x:v>HYPERLINK is not implemented. linkLocation=https://files.illinoiscomptroller.gov/LocGovTIF/FY2025/02204232/25TIF02204232Ogden_Ave_TIF_1.pdf#page=3, friendlyName=Financial source</x:v>
      </x:c>
      <x:c r="W109" s="24" t="str">
        <x:v>Municipal TIF annual report, section 3.1, current-year Property Tax Increment. FY 2025</x:v>
      </x:c>
      <x:c r="X109" s="24" t="e">
        <x:f>HYPERLINK("https://www.ilga.gov/ftp/Public%20Acts/103/103-0575.htm","Name source")</x:f>
        <x:v>HYPERLINK is not implemented. linkLocation=https://www.ilga.gov/ftp/Public%20Acts/103/103-0575.htm, friendlyName=Name source</x:v>
      </x:c>
      <x:c r="Y109" s="1" t="n">
        <x:v>1</x:v>
      </x:c>
      <x:c r="Z109" s="1"/>
      <x:c r="AA109" s="1"/>
    </x:row>
    <x:row r="110" ht="54" customHeight="1">
      <x:c r="A110" s="12" t="n">
        <x:v>103</x:v>
      </x:c>
      <x:c r="B110" s="12" t="str">
        <x:v>SB 696</x:v>
      </x:c>
      <x:c r="C110" s="12" t="str">
        <x:v>103-0575</x:v>
      </x:c>
      <x:c r="D110" s="17" t="d">
        <x:v>2023-12-08T00:00:00.000Z</x:v>
      </x:c>
      <x:c r="E110" s="18" t="str">
        <x:v>Chicago</x:v>
      </x:c>
      <x:c r="F110" s="13" t="str">
        <x:v>Division/Homan redevelopment project area</x:v>
      </x:c>
      <x:c r="G110" s="15" t="d">
        <x:v>2001-06-27T00:00:00.000Z</x:v>
      </x:c>
      <x:c r="H110" s="19" t="n">
        <x:v>23</x:v>
      </x:c>
      <x:c r="I110" s="19" t="n">
        <x:v>35</x:v>
      </x:c>
      <x:c r="J110" s="19" t="n">
        <x:v>12</x:v>
      </x:c>
      <x:c r="K110" s="19" t="str">
        <x:v>c(256)</x:v>
      </x:c>
      <x:c r="L110" s="12" t="str">
        <x:v>Tax year 2024</x:v>
      </x:c>
      <x:c r="M110" s="23" t="n">
        <x:v>4595626.62</x:v>
      </x:c>
      <x:c r="N110" s="22" t="n">
        <x:f>IF(ISNUMBER(M110),M110*J110,"")</x:f>
        <x:v>55147519.44</x:v>
      </x:c>
      <x:c r="O110" s="13" t="str">
        <x:v>Not determinable from extension law / TIF receipts alone</x:v>
      </x:c>
      <x:c r="P110" s="13" t="str"/>
      <x:c r="Q110" s="12" t="str"/>
      <x:c r="R110" s="24" t="e">
        <x:f>HYPERLINK("https://www.ilga.gov/ftp/Public%20Acts/103/103-0575.htm","Signed Public Act")</x:f>
        <x:v>HYPERLINK is not implemented. linkLocation=https://www.ilga.gov/ftp/Public%20Acts/103/103-0575.htm, friendlyName=Signed Public Act</x:v>
      </x:c>
      <x:c r="S110" s="24" t="e">
        <x:f>HYPERLINK("https://legiscan.com/IL/bill/SB696/2023","Signing history")</x:f>
        <x:v>HYPERLINK is not implemented. linkLocation=https://legiscan.com/IL/bill/SB696/2023, friendlyName=Signing history</x:v>
      </x:c>
      <x:c r="T110"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10"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10" s="24" t="e">
        <x:f>HYPERLINK("https://news.wttw.com/sites/default/files/article/file-attachments/2024-tif-report.pdf#page=39","Financial source")</x:f>
        <x:v>HYPERLINK is not implemented. linkLocation=https://news.wttw.com/sites/default/files/article/file-attachments/2024-tif-report.pdf#page=39, friendlyName=Financial source</x:v>
      </x:c>
      <x:c r="W110" s="24" t="str">
        <x:v>Cook County Clerk 2024 TIF report; 03-0210-543; Chicago - Division / Homan; PDF page 39</x:v>
      </x:c>
      <x:c r="X110" s="24" t="e">
        <x:f>HYPERLINK("https://www.ilga.gov/ftp/Public%20Acts/103/103-0575.htm","Name source")</x:f>
        <x:v>HYPERLINK is not implemented. linkLocation=https://www.ilga.gov/ftp/Public%20Acts/103/103-0575.htm, friendlyName=Name source</x:v>
      </x:c>
      <x:c r="Y110" s="1" t="n">
        <x:v>1</x:v>
      </x:c>
      <x:c r="Z110" s="1"/>
      <x:c r="AA110" s="1"/>
    </x:row>
    <x:row r="111" ht="54" customHeight="1">
      <x:c r="A111" s="12" t="n">
        <x:v>104</x:v>
      </x:c>
      <x:c r="B111" s="12" t="str">
        <x:v>SB 696</x:v>
      </x:c>
      <x:c r="C111" s="12" t="str">
        <x:v>103-0575</x:v>
      </x:c>
      <x:c r="D111" s="17" t="d">
        <x:v>2023-12-08T00:00:00.000Z</x:v>
      </x:c>
      <x:c r="E111" s="18" t="str">
        <x:v>Chicago</x:v>
      </x:c>
      <x:c r="F111" s="13" t="str">
        <x:v>63rd/Pulaski redevelopment project area</x:v>
      </x:c>
      <x:c r="G111" s="15" t="d">
        <x:v>2000-05-17T00:00:00.000Z</x:v>
      </x:c>
      <x:c r="H111" s="19" t="n">
        <x:v>23</x:v>
      </x:c>
      <x:c r="I111" s="19" t="n">
        <x:v>35</x:v>
      </x:c>
      <x:c r="J111" s="19" t="n">
        <x:v>12</x:v>
      </x:c>
      <x:c r="K111" s="19" t="str">
        <x:v>c(257)</x:v>
      </x:c>
      <x:c r="L111" s="12" t="str">
        <x:v>Tax year 2024</x:v>
      </x:c>
      <x:c r="M111" s="23" t="n">
        <x:v>3669677.55</x:v>
      </x:c>
      <x:c r="N111" s="22" t="n">
        <x:f>IF(ISNUMBER(M111),M111*J111,"")</x:f>
        <x:v>44036130.599999994</x:v>
      </x:c>
      <x:c r="O111" s="13" t="str">
        <x:v>Not determinable from extension law / TIF receipts alone</x:v>
      </x:c>
      <x:c r="P111" s="13" t="str"/>
      <x:c r="Q111" s="12" t="str"/>
      <x:c r="R111" s="24" t="e">
        <x:f>HYPERLINK("https://www.ilga.gov/ftp/Public%20Acts/103/103-0575.htm","Signed Public Act")</x:f>
        <x:v>HYPERLINK is not implemented. linkLocation=https://www.ilga.gov/ftp/Public%20Acts/103/103-0575.htm, friendlyName=Signed Public Act</x:v>
      </x:c>
      <x:c r="S111" s="24" t="e">
        <x:f>HYPERLINK("https://legiscan.com/IL/bill/SB696/2023","Signing history")</x:f>
        <x:v>HYPERLINK is not implemented. linkLocation=https://legiscan.com/IL/bill/SB696/2023, friendlyName=Signing history</x:v>
      </x:c>
      <x:c r="T111"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11"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11" s="24" t="e">
        <x:f>HYPERLINK("https://news.wttw.com/sites/default/files/article/file-attachments/2024-tif-report.pdf#page=39","Financial source")</x:f>
        <x:v>HYPERLINK is not implemented. linkLocation=https://news.wttw.com/sites/default/files/article/file-attachments/2024-tif-report.pdf#page=39, friendlyName=Financial source</x:v>
      </x:c>
      <x:c r="W111" s="24" t="str">
        <x:v>Cook County Clerk 2024 TIF report; 03-0210-513; Chicago - 63rd / Pulaski; PDF page 39</x:v>
      </x:c>
      <x:c r="X111" s="24" t="e">
        <x:f>HYPERLINK("https://www.ilga.gov/ftp/Public%20Acts/103/103-0575.htm","Name source")</x:f>
        <x:v>HYPERLINK is not implemented. linkLocation=https://www.ilga.gov/ftp/Public%20Acts/103/103-0575.htm, friendlyName=Name source</x:v>
      </x:c>
      <x:c r="Y111" s="1" t="n">
        <x:v>1</x:v>
      </x:c>
      <x:c r="Z111" s="1"/>
      <x:c r="AA111" s="1"/>
    </x:row>
    <x:row r="112" ht="54" customHeight="1">
      <x:c r="A112" s="12" t="n">
        <x:v>105</x:v>
      </x:c>
      <x:c r="B112" s="12" t="str">
        <x:v>SB 696</x:v>
      </x:c>
      <x:c r="C112" s="12" t="str">
        <x:v>103-0575</x:v>
      </x:c>
      <x:c r="D112" s="17" t="d">
        <x:v>2023-12-08T00:00:00.000Z</x:v>
      </x:c>
      <x:c r="E112" s="18" t="str">
        <x:v>Chicago</x:v>
      </x:c>
      <x:c r="F112" s="13" t="str">
        <x:v>Greater Southwest Industrial (East) redevelopment project area</x:v>
      </x:c>
      <x:c r="G112" s="15" t="d">
        <x:v>1999-03-10T00:00:00.000Z</x:v>
      </x:c>
      <x:c r="H112" s="19" t="n">
        <x:v>23</x:v>
      </x:c>
      <x:c r="I112" s="19" t="n">
        <x:v>35</x:v>
      </x:c>
      <x:c r="J112" s="19" t="n">
        <x:v>12</x:v>
      </x:c>
      <x:c r="K112" s="19" t="str">
        <x:v>c(258)</x:v>
      </x:c>
      <x:c r="L112" s="12" t="str">
        <x:v>Fiscal year 2025</x:v>
      </x:c>
      <x:c r="M112" s="23" t="n">
        <x:v>1203257</x:v>
      </x:c>
      <x:c r="N112" s="22" t="n">
        <x:f>IF(ISNUMBER(M112),M112*J112,"")</x:f>
        <x:v>14439084</x:v>
      </x:c>
      <x:c r="O112" s="13" t="str">
        <x:v>Not determinable from extension law / TIF receipts alone</x:v>
      </x:c>
      <x:c r="P112" s="13" t="str"/>
      <x:c r="Q112" s="12" t="str"/>
      <x:c r="R112" s="24" t="e">
        <x:f>HYPERLINK("https://www.ilga.gov/ftp/Public%20Acts/103/103-0575.htm","Signed Public Act")</x:f>
        <x:v>HYPERLINK is not implemented. linkLocation=https://www.ilga.gov/ftp/Public%20Acts/103/103-0575.htm, friendlyName=Signed Public Act</x:v>
      </x:c>
      <x:c r="S112" s="24" t="e">
        <x:f>HYPERLINK("https://legiscan.com/IL/bill/SB696/2023","Signing history")</x:f>
        <x:v>HYPERLINK is not implemented. linkLocation=https://legiscan.com/IL/bill/SB696/2023, friendlyName=Signing history</x:v>
      </x:c>
      <x:c r="T112"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12"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12" s="24" t="e">
        <x:f>HYPERLINK("https://data.cityofchicago.org/d/qm7s-3ctt","Financial source")</x:f>
        <x:v>HYPERLINK is not implemented. linkLocation=https://data.cityofchicago.org/d/qm7s-3ctt, friendlyName=Financial source</x:v>
      </x:c>
      <x:c r="W112" s="24" t="str">
        <x:v>City of Chicago TIF annual-report dataset; Greater Southwest Industrial (East); report_year 2025; property_tax_increment_current</x:v>
      </x:c>
      <x:c r="X112" s="24" t="e">
        <x:f>HYPERLINK("https://www.ilga.gov/ftp/Public%20Acts/103/103-0575.htm","Name source")</x:f>
        <x:v>HYPERLINK is not implemented. linkLocation=https://www.ilga.gov/ftp/Public%20Acts/103/103-0575.htm, friendlyName=Name source</x:v>
      </x:c>
      <x:c r="Y112" s="1" t="n">
        <x:v>1</x:v>
      </x:c>
      <x:c r="Z112" s="1"/>
      <x:c r="AA112" s="1"/>
    </x:row>
    <x:row r="113" ht="54" customHeight="1">
      <x:c r="A113" s="12" t="n">
        <x:v>106</x:v>
      </x:c>
      <x:c r="B113" s="12" t="str">
        <x:v>SB 696</x:v>
      </x:c>
      <x:c r="C113" s="12" t="str">
        <x:v>103-0575</x:v>
      </x:c>
      <x:c r="D113" s="17" t="d">
        <x:v>2023-12-08T00:00:00.000Z</x:v>
      </x:c>
      <x:c r="E113" s="18" t="str">
        <x:v>Chicago</x:v>
      </x:c>
      <x:c r="F113" s="13" t="str">
        <x:v>Lawrence/Kedzie redevelopment project area</x:v>
      </x:c>
      <x:c r="G113" s="15" t="d">
        <x:v>2000-02-16T00:00:00.000Z</x:v>
      </x:c>
      <x:c r="H113" s="19" t="n">
        <x:v>23</x:v>
      </x:c>
      <x:c r="I113" s="19" t="n">
        <x:v>35</x:v>
      </x:c>
      <x:c r="J113" s="19" t="n">
        <x:v>12</x:v>
      </x:c>
      <x:c r="K113" s="19" t="str">
        <x:v>c(259)</x:v>
      </x:c>
      <x:c r="L113" s="12" t="str">
        <x:v>Tax year 2024</x:v>
      </x:c>
      <x:c r="M113" s="23" t="n">
        <x:v>15951843.66</x:v>
      </x:c>
      <x:c r="N113" s="22" t="n">
        <x:f>IF(ISNUMBER(M113),M113*J113,"")</x:f>
        <x:v>191422123.92000002</x:v>
      </x:c>
      <x:c r="O113" s="13" t="str">
        <x:v>Not determinable from extension law / TIF receipts alone</x:v>
      </x:c>
      <x:c r="P113" s="13" t="str"/>
      <x:c r="Q113" s="12" t="str"/>
      <x:c r="R113" s="24" t="e">
        <x:f>HYPERLINK("https://www.ilga.gov/ftp/Public%20Acts/103/103-0575.htm","Signed Public Act")</x:f>
        <x:v>HYPERLINK is not implemented. linkLocation=https://www.ilga.gov/ftp/Public%20Acts/103/103-0575.htm, friendlyName=Signed Public Act</x:v>
      </x:c>
      <x:c r="S113" s="24" t="e">
        <x:f>HYPERLINK("https://legiscan.com/IL/bill/SB696/2023","Signing history")</x:f>
        <x:v>HYPERLINK is not implemented. linkLocation=https://legiscan.com/IL/bill/SB696/2023, friendlyName=Signing history</x:v>
      </x:c>
      <x:c r="T113"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13"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13" s="24" t="e">
        <x:f>HYPERLINK("https://news.wttw.com/sites/default/files/article/file-attachments/2024-tif-report.pdf#page=40","Financial source")</x:f>
        <x:v>HYPERLINK is not implemented. linkLocation=https://news.wttw.com/sites/default/files/article/file-attachments/2024-tif-report.pdf#page=40, friendlyName=Financial source</x:v>
      </x:c>
      <x:c r="W113" s="24" t="str">
        <x:v>Cook County Clerk 2024 TIF report; 03-0210-564; Chicago - Lawrence / Kedzie; PDF page 40</x:v>
      </x:c>
      <x:c r="X113" s="24" t="e">
        <x:f>HYPERLINK("https://www.ilga.gov/ftp/Public%20Acts/103/103-0575.htm","Name source")</x:f>
        <x:v>HYPERLINK is not implemented. linkLocation=https://www.ilga.gov/ftp/Public%20Acts/103/103-0575.htm, friendlyName=Name source</x:v>
      </x:c>
      <x:c r="Y113" s="1" t="n">
        <x:v>1</x:v>
      </x:c>
      <x:c r="Z113" s="1"/>
      <x:c r="AA113" s="1"/>
    </x:row>
    <x:row r="114" ht="54" customHeight="1">
      <x:c r="A114" s="12" t="n">
        <x:v>107</x:v>
      </x:c>
      <x:c r="B114" s="12" t="str">
        <x:v>SB 696</x:v>
      </x:c>
      <x:c r="C114" s="12" t="str">
        <x:v>103-0575</x:v>
      </x:c>
      <x:c r="D114" s="17" t="d">
        <x:v>2023-12-08T00:00:00.000Z</x:v>
      </x:c>
      <x:c r="E114" s="18" t="str">
        <x:v>Chicago</x:v>
      </x:c>
      <x:c r="F114" s="13" t="str">
        <x:v>Lincoln Avenue redevelopment project area</x:v>
      </x:c>
      <x:c r="G114" s="15" t="d">
        <x:v>1999-11-03T00:00:00.000Z</x:v>
      </x:c>
      <x:c r="H114" s="19" t="n">
        <x:v>23</x:v>
      </x:c>
      <x:c r="I114" s="19" t="n">
        <x:v>35</x:v>
      </x:c>
      <x:c r="J114" s="19" t="n">
        <x:v>12</x:v>
      </x:c>
      <x:c r="K114" s="19" t="str">
        <x:v>c(260)</x:v>
      </x:c>
      <x:c r="L114" s="12" t="str">
        <x:v>Tax year 2024</x:v>
      </x:c>
      <x:c r="M114" s="23" t="n">
        <x:v>5336724.58</x:v>
      </x:c>
      <x:c r="N114" s="22" t="n">
        <x:f>IF(ISNUMBER(M114),M114*J114,"")</x:f>
        <x:v>64040694.96</x:v>
      </x:c>
      <x:c r="O114" s="13" t="str">
        <x:v>Not determinable from extension law / TIF receipts alone</x:v>
      </x:c>
      <x:c r="P114" s="13" t="str"/>
      <x:c r="Q114" s="12" t="str"/>
      <x:c r="R114" s="24" t="e">
        <x:f>HYPERLINK("https://www.ilga.gov/ftp/Public%20Acts/103/103-0575.htm","Signed Public Act")</x:f>
        <x:v>HYPERLINK is not implemented. linkLocation=https://www.ilga.gov/ftp/Public%20Acts/103/103-0575.htm, friendlyName=Signed Public Act</x:v>
      </x:c>
      <x:c r="S114" s="24" t="e">
        <x:f>HYPERLINK("https://legiscan.com/IL/bill/SB696/2023","Signing history")</x:f>
        <x:v>HYPERLINK is not implemented. linkLocation=https://legiscan.com/IL/bill/SB696/2023, friendlyName=Signing history</x:v>
      </x:c>
      <x:c r="T114"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14"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14" s="24" t="e">
        <x:f>HYPERLINK("https://news.wttw.com/sites/default/files/article/file-attachments/2024-tif-report.pdf#page=40","Financial source")</x:f>
        <x:v>HYPERLINK is not implemented. linkLocation=https://news.wttw.com/sites/default/files/article/file-attachments/2024-tif-report.pdf#page=40, friendlyName=Financial source</x:v>
      </x:c>
      <x:c r="W114" s="24" t="str">
        <x:v>Cook County Clerk 2024 TIF report; 03-0210-565; Chicago - Lincoln Ave.; PDF page 40</x:v>
      </x:c>
      <x:c r="X114" s="24" t="e">
        <x:f>HYPERLINK("https://www.ilga.gov/ftp/Public%20Acts/103/103-0575.htm","Name source")</x:f>
        <x:v>HYPERLINK is not implemented. linkLocation=https://www.ilga.gov/ftp/Public%20Acts/103/103-0575.htm, friendlyName=Name source</x:v>
      </x:c>
      <x:c r="Y114" s="1" t="n">
        <x:v>1</x:v>
      </x:c>
      <x:c r="Z114" s="1"/>
      <x:c r="AA114" s="1"/>
    </x:row>
    <x:row r="115" ht="54" customHeight="1">
      <x:c r="A115" s="12" t="n">
        <x:v>108</x:v>
      </x:c>
      <x:c r="B115" s="12" t="str">
        <x:v>SB 696</x:v>
      </x:c>
      <x:c r="C115" s="12" t="str">
        <x:v>103-0575</x:v>
      </x:c>
      <x:c r="D115" s="17" t="d">
        <x:v>2023-12-08T00:00:00.000Z</x:v>
      </x:c>
      <x:c r="E115" s="18" t="str">
        <x:v>Fox River Grove</x:v>
      </x:c>
      <x:c r="F115" s="13" t="str">
        <x:v>Downtown TIF #2 redevelopment project area</x:v>
      </x:c>
      <x:c r="G115" s="15" t="d">
        <x:v>2015-09-03T00:00:00.000Z</x:v>
      </x:c>
      <x:c r="H115" s="19" t="n">
        <x:v>23</x:v>
      </x:c>
      <x:c r="I115" s="19" t="n">
        <x:v>35</x:v>
      </x:c>
      <x:c r="J115" s="19" t="n">
        <x:v>12</x:v>
      </x:c>
      <x:c r="K115" s="19" t="str">
        <x:v>c(261)</x:v>
      </x:c>
      <x:c r="L115" s="12" t="str">
        <x:v>Fiscal year 2025</x:v>
      </x:c>
      <x:c r="M115" s="23" t="n">
        <x:v>316429</x:v>
      </x:c>
      <x:c r="N115" s="22" t="n">
        <x:f>IF(ISNUMBER(M115),M115*J115,"")</x:f>
        <x:v>3797148</x:v>
      </x:c>
      <x:c r="O115" s="13" t="str">
        <x:v>Not determinable from extension law / TIF receipts alone</x:v>
      </x:c>
      <x:c r="P115" s="13" t="str"/>
      <x:c r="Q115" s="12" t="str"/>
      <x:c r="R115" s="24" t="e">
        <x:f>HYPERLINK("https://www.ilga.gov/ftp/Public%20Acts/103/103-0575.htm","Signed Public Act")</x:f>
        <x:v>HYPERLINK is not implemented. linkLocation=https://www.ilga.gov/ftp/Public%20Acts/103/103-0575.htm, friendlyName=Signed Public Act</x:v>
      </x:c>
      <x:c r="S115" s="24" t="e">
        <x:f>HYPERLINK("https://legiscan.com/IL/bill/SB696/2023","Signing history")</x:f>
        <x:v>HYPERLINK is not implemented. linkLocation=https://legiscan.com/IL/bill/SB696/2023, friendlyName=Signing history</x:v>
      </x:c>
      <x:c r="T115" s="24" t="e">
        <x:f>HYPERLINK("https://files.illinoiscomptroller.gov/LocGovTIF/FY2025/06302532/25TIF06302532Downtown_RPA_2_1.pdf","TIF annual reporting")</x:f>
        <x:v>HYPERLINK is not implemented. linkLocation=https://files.illinoiscomptroller.gov/LocGovTIF/FY2025/06302532/25TIF06302532Downtown_RPA_2_1.pdf, friendlyName=TIF annual reporting</x:v>
      </x:c>
      <x:c r="U115" s="24" t="e">
        <x:f>HYPERLINK("https://illinoiscomptroller.gov/constituent-services/local-government/local-government-warehouse/landingpage?code=063%2F025%2F32","Municipal report index")</x:f>
        <x:v>HYPERLINK is not implemented. linkLocation=https://illinoiscomptroller.gov/constituent-services/local-government/local-government-warehouse/landingpage?code=063%2F025%2F32, friendlyName=Municipal report index</x:v>
      </x:c>
      <x:c r="V115" s="24" t="e">
        <x:f>HYPERLINK("https://files.illinoiscomptroller.gov/LocGovTIF/FY2025/06302532/25TIF06302532Downtown_RPA_2_1.pdf#page=3","Financial source")</x:f>
        <x:v>HYPERLINK is not implemented. linkLocation=https://files.illinoiscomptroller.gov/LocGovTIF/FY2025/06302532/25TIF06302532Downtown_RPA_2_1.pdf#page=3, friendlyName=Financial source</x:v>
      </x:c>
      <x:c r="W115" s="24" t="str">
        <x:v>Municipal TIF annual report, section 3.1, current-year Property Tax Increment. FY 2025</x:v>
      </x:c>
      <x:c r="X115" s="24" t="e">
        <x:f>HYPERLINK("https://www.ilga.gov/ftp/Public%20Acts/103/103-0575.htm","Name source")</x:f>
        <x:v>HYPERLINK is not implemented. linkLocation=https://www.ilga.gov/ftp/Public%20Acts/103/103-0575.htm, friendlyName=Name source</x:v>
      </x:c>
      <x:c r="Y115" s="1" t="n">
        <x:v>1</x:v>
      </x:c>
      <x:c r="Z115" s="1"/>
      <x:c r="AA115" s="1"/>
    </x:row>
    <x:row r="116" ht="54" customHeight="1">
      <x:c r="A116" s="12" t="n">
        <x:v>109</x:v>
      </x:c>
      <x:c r="B116" s="12" t="str">
        <x:v>SB 696</x:v>
      </x:c>
      <x:c r="C116" s="12" t="str">
        <x:v>103-0575</x:v>
      </x:c>
      <x:c r="D116" s="17" t="d">
        <x:v>2023-12-08T00:00:00.000Z</x:v>
      </x:c>
      <x:c r="E116" s="18" t="str">
        <x:v>Ohio</x:v>
      </x:c>
      <x:c r="F116" s="13" t="str">
        <x:v>Village of Ohio TIF District</x:v>
      </x:c>
      <x:c r="G116" s="15" t="d">
        <x:v>1992-03-30T00:00:00.000Z</x:v>
      </x:c>
      <x:c r="H116" s="19" t="n">
        <x:v>35</x:v>
      </x:c>
      <x:c r="I116" s="19" t="n">
        <x:v>47</x:v>
      </x:c>
      <x:c r="J116" s="19" t="n">
        <x:v>12</x:v>
      </x:c>
      <x:c r="K116" s="19" t="str">
        <x:v>f-5(18)</x:v>
      </x:c>
      <x:c r="L116" s="12" t="str">
        <x:v>Fiscal year 2025</x:v>
      </x:c>
      <x:c r="M116" s="23" t="n">
        <x:v>168570</x:v>
      </x:c>
      <x:c r="N116" s="22" t="n">
        <x:f>IF(ISNUMBER(M116),M116*J116,"")</x:f>
        <x:v>2022840</x:v>
      </x:c>
      <x:c r="O116" s="13" t="str">
        <x:v>Not determinable from extension law / TIF receipts alone</x:v>
      </x:c>
      <x:c r="P116" s="13" t="str"/>
      <x:c r="Q116" s="12" t="str"/>
      <x:c r="R116" s="24" t="e">
        <x:f>HYPERLINK("https://www.ilga.gov/ftp/Public%20Acts/103/103-0575.htm","Signed Public Act")</x:f>
        <x:v>HYPERLINK is not implemented. linkLocation=https://www.ilga.gov/ftp/Public%20Acts/103/103-0575.htm, friendlyName=Signed Public Act</x:v>
      </x:c>
      <x:c r="S116" s="24" t="e">
        <x:f>HYPERLINK("https://legiscan.com/IL/bill/SB696/2023","Signing history")</x:f>
        <x:v>HYPERLINK is not implemented. linkLocation=https://legiscan.com/IL/bill/SB696/2023, friendlyName=Signing history</x:v>
      </x:c>
      <x:c r="T116" s="24" t="e">
        <x:f>HYPERLINK("https://files.illinoiscomptroller.gov/LocGovTIF/FY2025/00608532/25TIF00608532TIF_1_1.pdf","TIF annual reporting")</x:f>
        <x:v>HYPERLINK is not implemented. linkLocation=https://files.illinoiscomptroller.gov/LocGovTIF/FY2025/00608532/25TIF00608532TIF_1_1.pdf, friendlyName=TIF annual reporting</x:v>
      </x:c>
      <x:c r="U116" s="24" t="e">
        <x:f>HYPERLINK("https://illinoiscomptroller.gov/constituent-services/local-government/local-government-warehouse/landingpage?code=006%2F085%2F32","Municipal report index")</x:f>
        <x:v>HYPERLINK is not implemented. linkLocation=https://illinoiscomptroller.gov/constituent-services/local-government/local-government-warehouse/landingpage?code=006%2F085%2F32, friendlyName=Municipal report index</x:v>
      </x:c>
      <x:c r="V116" s="24" t="e">
        <x:f>HYPERLINK("https://files.illinoiscomptroller.gov/LocGovTIF/FY2025/00608532/25TIF00608532TIF_1_1.pdf#page=3","Financial source")</x:f>
        <x:v>HYPERLINK is not implemented. linkLocation=https://files.illinoiscomptroller.gov/LocGovTIF/FY2025/00608532/25TIF00608532TIF_1_1.pdf#page=3, friendlyName=Financial source</x:v>
      </x:c>
      <x:c r="W116" s="24" t="str">
        <x:v>Municipal TIF annual report, section 3.1, current-year Property Tax Increment. FY 2025</x:v>
      </x:c>
      <x:c r="X116" s="24" t="e">
        <x:f>HYPERLINK("https://www.ilga.gov/ftp/Public%20Acts/103/103-0575.htm","Name source")</x:f>
        <x:v>HYPERLINK is not implemented. linkLocation=https://www.ilga.gov/ftp/Public%20Acts/103/103-0575.htm, friendlyName=Name source</x:v>
      </x:c>
      <x:c r="Y116" s="1" t="n">
        <x:v>1</x:v>
      </x:c>
      <x:c r="Z116" s="1"/>
      <x:c r="AA116" s="1"/>
    </x:row>
    <x:row r="117" ht="54" customHeight="1">
      <x:c r="A117" s="12" t="n">
        <x:v>110</x:v>
      </x:c>
      <x:c r="B117" s="12" t="str">
        <x:v>SB 696</x:v>
      </x:c>
      <x:c r="C117" s="12" t="str">
        <x:v>103-0575</x:v>
      </x:c>
      <x:c r="D117" s="17" t="d">
        <x:v>2023-12-08T00:00:00.000Z</x:v>
      </x:c>
      <x:c r="E117" s="18" t="str">
        <x:v>Crete</x:v>
      </x:c>
      <x:c r="F117" s="13" t="str">
        <x:v>TIF 2 — Central Business District</x:v>
      </x:c>
      <x:c r="G117" s="15" t="d">
        <x:v>1993-12-13T00:00:00.000Z</x:v>
      </x:c>
      <x:c r="H117" s="19" t="n">
        <x:v>35</x:v>
      </x:c>
      <x:c r="I117" s="19" t="n">
        <x:v>47</x:v>
      </x:c>
      <x:c r="J117" s="19" t="n">
        <x:v>12</x:v>
      </x:c>
      <x:c r="K117" s="19" t="str">
        <x:v>f-5(19)</x:v>
      </x:c>
      <x:c r="L117" s="12" t="str">
        <x:v>Fiscal year 2025</x:v>
      </x:c>
      <x:c r="M117" s="23" t="n">
        <x:v>580689</x:v>
      </x:c>
      <x:c r="N117" s="22" t="n">
        <x:f>IF(ISNUMBER(M117),M117*J117,"")</x:f>
        <x:v>6968268</x:v>
      </x:c>
      <x:c r="O117" s="13" t="str">
        <x:v>Not determinable from extension law / TIF receipts alone</x:v>
      </x:c>
      <x:c r="P117" s="13" t="str"/>
      <x:c r="Q117" s="12" t="str"/>
      <x:c r="R117" s="24" t="e">
        <x:f>HYPERLINK("https://www.ilga.gov/ftp/Public%20Acts/103/103-0575.htm","Signed Public Act")</x:f>
        <x:v>HYPERLINK is not implemented. linkLocation=https://www.ilga.gov/ftp/Public%20Acts/103/103-0575.htm, friendlyName=Signed Public Act</x:v>
      </x:c>
      <x:c r="S117" s="24" t="e">
        <x:f>HYPERLINK("https://legiscan.com/IL/bill/SB696/2023","Signing history")</x:f>
        <x:v>HYPERLINK is not implemented. linkLocation=https://legiscan.com/IL/bill/SB696/2023, friendlyName=Signing history</x:v>
      </x:c>
      <x:c r="T117" s="24" t="e">
        <x:f>HYPERLINK("https://files.illinoiscomptroller.gov/LocGovTIF/FY2025/09903532/25TIF09903532TIF_2_1.pdf","TIF annual reporting")</x:f>
        <x:v>HYPERLINK is not implemented. linkLocation=https://files.illinoiscomptroller.gov/LocGovTIF/FY2025/09903532/25TIF09903532TIF_2_1.pdf, friendlyName=TIF annual reporting</x:v>
      </x:c>
      <x:c r="U117" s="24" t="e">
        <x:f>HYPERLINK("https://illinoiscomptroller.gov/constituent-services/local-government/local-government-warehouse/landingpage?code=099%2F035%2F32","Municipal report index")</x:f>
        <x:v>HYPERLINK is not implemented. linkLocation=https://illinoiscomptroller.gov/constituent-services/local-government/local-government-warehouse/landingpage?code=099%2F035%2F32, friendlyName=Municipal report index</x:v>
      </x:c>
      <x:c r="V117" s="24" t="e">
        <x:f>HYPERLINK("https://files.illinoiscomptroller.gov/LocGovTIF/FY2025/09903532/25TIF09903532TIF_2_1.pdf#page=3","Financial source")</x:f>
        <x:v>HYPERLINK is not implemented. linkLocation=https://files.illinoiscomptroller.gov/LocGovTIF/FY2025/09903532/25TIF09903532TIF_2_1.pdf#page=3, friendlyName=Financial source</x:v>
      </x:c>
      <x:c r="W117" s="24" t="str">
        <x:v>Municipal TIF annual report, section 3.1, current-year Property Tax Increment. FY 2025</x:v>
      </x:c>
      <x:c r="X117" s="24" t="e">
        <x:f>HYPERLINK("https://files.illinoiscomptroller.gov/LocGovTIF/FY2025/09903532/25TIF09903532TIF_2_1.pdf","Name source")</x:f>
        <x:v>HYPERLINK is not implemented. linkLocation=https://files.illinoiscomptroller.gov/LocGovTIF/FY2025/09903532/25TIF09903532TIF_2_1.pdf, friendlyName=Name source</x:v>
      </x:c>
      <x:c r="Y117" s="1" t="n">
        <x:v>1</x:v>
      </x:c>
      <x:c r="Z117" s="1"/>
      <x:c r="AA117" s="1"/>
    </x:row>
    <x:row r="118" ht="54" customHeight="1">
      <x:c r="A118" s="12" t="n">
        <x:v>111</x:v>
      </x:c>
      <x:c r="B118" s="12" t="str">
        <x:v>SB 696</x:v>
      </x:c>
      <x:c r="C118" s="12" t="str">
        <x:v>103-0575</x:v>
      </x:c>
      <x:c r="D118" s="17" t="d">
        <x:v>2023-12-08T00:00:00.000Z</x:v>
      </x:c>
      <x:c r="E118" s="18" t="str">
        <x:v>Crete</x:v>
      </x:c>
      <x:c r="F118" s="13" t="str">
        <x:v>TIF 4 — Gateway Commerce</x:v>
      </x:c>
      <x:c r="G118" s="15" t="d">
        <x:v>2001-02-12T00:00:00.000Z</x:v>
      </x:c>
      <x:c r="H118" s="19" t="n">
        <x:v>35</x:v>
      </x:c>
      <x:c r="I118" s="19" t="n">
        <x:v>47</x:v>
      </x:c>
      <x:c r="J118" s="19" t="n">
        <x:v>12</x:v>
      </x:c>
      <x:c r="K118" s="19" t="str">
        <x:v>f-5(20)</x:v>
      </x:c>
      <x:c r="L118" s="12" t="str">
        <x:v>Fiscal year 2025</x:v>
      </x:c>
      <x:c r="M118" s="23" t="n">
        <x:v>665693</x:v>
      </x:c>
      <x:c r="N118" s="22" t="n">
        <x:f>IF(ISNUMBER(M118),M118*J118,"")</x:f>
        <x:v>7988316</x:v>
      </x:c>
      <x:c r="O118" s="13" t="str">
        <x:v>Not determinable from extension law / TIF receipts alone</x:v>
      </x:c>
      <x:c r="P118" s="13" t="str"/>
      <x:c r="Q118" s="12" t="str"/>
      <x:c r="R118" s="24" t="e">
        <x:f>HYPERLINK("https://www.ilga.gov/ftp/Public%20Acts/103/103-0575.htm","Signed Public Act")</x:f>
        <x:v>HYPERLINK is not implemented. linkLocation=https://www.ilga.gov/ftp/Public%20Acts/103/103-0575.htm, friendlyName=Signed Public Act</x:v>
      </x:c>
      <x:c r="S118" s="24" t="e">
        <x:f>HYPERLINK("https://legiscan.com/IL/bill/SB696/2023","Signing history")</x:f>
        <x:v>HYPERLINK is not implemented. linkLocation=https://legiscan.com/IL/bill/SB696/2023, friendlyName=Signing history</x:v>
      </x:c>
      <x:c r="T118" s="24" t="e">
        <x:f>HYPERLINK("https://files.illinoiscomptroller.gov/LocGovTIF/FY2025/09903532/25TIF09903532TIF_4_1.pdf","TIF annual reporting")</x:f>
        <x:v>HYPERLINK is not implemented. linkLocation=https://files.illinoiscomptroller.gov/LocGovTIF/FY2025/09903532/25TIF09903532TIF_4_1.pdf, friendlyName=TIF annual reporting</x:v>
      </x:c>
      <x:c r="U118" s="24" t="e">
        <x:f>HYPERLINK("https://illinoiscomptroller.gov/constituent-services/local-government/local-government-warehouse/landingpage?code=099%2F035%2F32","Municipal report index")</x:f>
        <x:v>HYPERLINK is not implemented. linkLocation=https://illinoiscomptroller.gov/constituent-services/local-government/local-government-warehouse/landingpage?code=099%2F035%2F32, friendlyName=Municipal report index</x:v>
      </x:c>
      <x:c r="V118" s="24" t="e">
        <x:f>HYPERLINK("https://files.illinoiscomptroller.gov/LocGovTIF/FY2025/09903532/25TIF09903532TIF_4_1.pdf#page=3","Financial source")</x:f>
        <x:v>HYPERLINK is not implemented. linkLocation=https://files.illinoiscomptroller.gov/LocGovTIF/FY2025/09903532/25TIF09903532TIF_4_1.pdf#page=3, friendlyName=Financial source</x:v>
      </x:c>
      <x:c r="W118" s="24" t="str">
        <x:v>Municipal TIF annual report, section 3.1, current-year Property Tax Increment. FY 2025</x:v>
      </x:c>
      <x:c r="X118" s="24" t="e">
        <x:f>HYPERLINK("https://files.illinoiscomptroller.gov/LocGovTIF/FY2025/09903532/25TIF09903532TIF_4_1.pdf","Name source")</x:f>
        <x:v>HYPERLINK is not implemented. linkLocation=https://files.illinoiscomptroller.gov/LocGovTIF/FY2025/09903532/25TIF09903532TIF_4_1.pdf, friendlyName=Name source</x:v>
      </x:c>
      <x:c r="Y118" s="1" t="n">
        <x:v>1</x:v>
      </x:c>
      <x:c r="Z118" s="1"/>
      <x:c r="AA118" s="1"/>
    </x:row>
    <x:row r="119" ht="54" customHeight="1">
      <x:c r="A119" s="12" t="n">
        <x:v>112</x:v>
      </x:c>
      <x:c r="B119" s="12" t="str">
        <x:v>SB 696</x:v>
      </x:c>
      <x:c r="C119" s="12" t="str">
        <x:v>103-0575</x:v>
      </x:c>
      <x:c r="D119" s="17" t="d">
        <x:v>2023-12-08T00:00:00.000Z</x:v>
      </x:c>
      <x:c r="E119" s="18" t="str">
        <x:v>Crete</x:v>
      </x:c>
      <x:c r="F119" s="13" t="str">
        <x:v>TIF 3 — Industrial Development</x:v>
      </x:c>
      <x:c r="G119" s="15" t="d">
        <x:v>2001-04-23T00:00:00.000Z</x:v>
      </x:c>
      <x:c r="H119" s="19" t="n">
        <x:v>35</x:v>
      </x:c>
      <x:c r="I119" s="19" t="n">
        <x:v>47</x:v>
      </x:c>
      <x:c r="J119" s="19" t="n">
        <x:v>12</x:v>
      </x:c>
      <x:c r="K119" s="19" t="str">
        <x:v>f-5(21)</x:v>
      </x:c>
      <x:c r="L119" s="12" t="str">
        <x:v>Fiscal year 2025</x:v>
      </x:c>
      <x:c r="M119" s="23" t="n">
        <x:v>1163246</x:v>
      </x:c>
      <x:c r="N119" s="22" t="n">
        <x:f>IF(ISNUMBER(M119),M119*J119,"")</x:f>
        <x:v>13958952</x:v>
      </x:c>
      <x:c r="O119" s="13" t="str">
        <x:v>Not determinable from extension law / TIF receipts alone</x:v>
      </x:c>
      <x:c r="P119" s="13" t="str"/>
      <x:c r="Q119" s="12" t="str"/>
      <x:c r="R119" s="24" t="e">
        <x:f>HYPERLINK("https://www.ilga.gov/ftp/Public%20Acts/103/103-0575.htm","Signed Public Act")</x:f>
        <x:v>HYPERLINK is not implemented. linkLocation=https://www.ilga.gov/ftp/Public%20Acts/103/103-0575.htm, friendlyName=Signed Public Act</x:v>
      </x:c>
      <x:c r="S119" s="24" t="e">
        <x:f>HYPERLINK("https://legiscan.com/IL/bill/SB696/2023","Signing history")</x:f>
        <x:v>HYPERLINK is not implemented. linkLocation=https://legiscan.com/IL/bill/SB696/2023, friendlyName=Signing history</x:v>
      </x:c>
      <x:c r="T119" s="24" t="e">
        <x:f>HYPERLINK("https://files.illinoiscomptroller.gov/LocGovTIF/FY2025/09903532/25TIF09903532TIF_3_1.pdf","TIF annual reporting")</x:f>
        <x:v>HYPERLINK is not implemented. linkLocation=https://files.illinoiscomptroller.gov/LocGovTIF/FY2025/09903532/25TIF09903532TIF_3_1.pdf, friendlyName=TIF annual reporting</x:v>
      </x:c>
      <x:c r="U119" s="24" t="e">
        <x:f>HYPERLINK("https://illinoiscomptroller.gov/constituent-services/local-government/local-government-warehouse/landingpage?code=099%2F035%2F32","Municipal report index")</x:f>
        <x:v>HYPERLINK is not implemented. linkLocation=https://illinoiscomptroller.gov/constituent-services/local-government/local-government-warehouse/landingpage?code=099%2F035%2F32, friendlyName=Municipal report index</x:v>
      </x:c>
      <x:c r="V119" s="24" t="e">
        <x:f>HYPERLINK("https://files.illinoiscomptroller.gov/LocGovTIF/FY2025/09903532/25TIF09903532TIF_3_1.pdf#page=3","Financial source")</x:f>
        <x:v>HYPERLINK is not implemented. linkLocation=https://files.illinoiscomptroller.gov/LocGovTIF/FY2025/09903532/25TIF09903532TIF_3_1.pdf#page=3, friendlyName=Financial source</x:v>
      </x:c>
      <x:c r="W119" s="24" t="str">
        <x:v>Municipal TIF annual report, section 3.1, current-year Property Tax Increment. FY 2025</x:v>
      </x:c>
      <x:c r="X119" s="24" t="e">
        <x:f>HYPERLINK("https://files.illinoiscomptroller.gov/LocGovTIF/FY2025/09903532/25TIF09903532TIF_3_1.pdf","Name source")</x:f>
        <x:v>HYPERLINK is not implemented. linkLocation=https://files.illinoiscomptroller.gov/LocGovTIF/FY2025/09903532/25TIF09903532TIF_3_1.pdf, friendlyName=Name source</x:v>
      </x:c>
      <x:c r="Y119" s="1" t="n">
        <x:v>1</x:v>
      </x:c>
      <x:c r="Z119" s="1"/>
      <x:c r="AA119" s="1"/>
    </x:row>
    <x:row r="120" ht="54" customHeight="1">
      <x:c r="A120" s="12" t="n">
        <x:v>113</x:v>
      </x:c>
      <x:c r="B120" s="12" t="str">
        <x:v>SB 3563</x:v>
      </x:c>
      <x:c r="C120" s="12" t="str">
        <x:v>103-1016</x:v>
      </x:c>
      <x:c r="D120" s="17" t="d">
        <x:v>2024-08-09T00:00:00.000Z</x:v>
      </x:c>
      <x:c r="E120" s="18" t="str">
        <x:v>Franklin Park</x:v>
      </x:c>
      <x:c r="F120" s="13" t="str">
        <x:v>Downtown Franklin Avenue redevelopment project area</x:v>
      </x:c>
      <x:c r="G120" s="15" t="d">
        <x:v>2000-10-16T00:00:00.000Z</x:v>
      </x:c>
      <x:c r="H120" s="19" t="n">
        <x:v>23</x:v>
      </x:c>
      <x:c r="I120" s="19" t="n">
        <x:v>35</x:v>
      </x:c>
      <x:c r="J120" s="19" t="n">
        <x:v>12</x:v>
      </x:c>
      <x:c r="K120" s="19" t="str">
        <x:v>c(262)</x:v>
      </x:c>
      <x:c r="L120" s="12" t="str">
        <x:v>Tax year 2024</x:v>
      </x:c>
      <x:c r="M120" s="23" t="n">
        <x:v>971083.52</x:v>
      </x:c>
      <x:c r="N120" s="22" t="n">
        <x:f>IF(ISNUMBER(M120),M120*J120,"")</x:f>
        <x:v>11653002.24</x:v>
      </x:c>
      <x:c r="O120" s="13" t="str">
        <x:v>Not determinable from extension law / TIF receipts alone</x:v>
      </x:c>
      <x:c r="P120" s="13" t="str"/>
      <x:c r="Q120" s="12" t="str"/>
      <x:c r="R120" s="24" t="e">
        <x:f>HYPERLINK("https://www.ilga.gov/ftp/Public%20Acts/103/103-1016.htm","Signed Public Act")</x:f>
        <x:v>HYPERLINK is not implemented. linkLocation=https://www.ilga.gov/ftp/Public%20Acts/103/103-1016.htm, friendlyName=Signed Public Act</x:v>
      </x:c>
      <x:c r="S120" s="24" t="e">
        <x:f>HYPERLINK("https://legiscan.com/IL/bill/SB3563/2023","Signing history")</x:f>
        <x:v>HYPERLINK is not implemented. linkLocation=https://legiscan.com/IL/bill/SB3563/2023, friendlyName=Signing history</x:v>
      </x:c>
      <x:c r="T120" s="24" t="e">
        <x:f>HYPERLINK("https://files.illinoiscomptroller.gov/LocGovTIF/FY2025/01620032/25TIF01620032Downtown_1.pdf","TIF annual reporting")</x:f>
        <x:v>HYPERLINK is not implemented. linkLocation=https://files.illinoiscomptroller.gov/LocGovTIF/FY2025/01620032/25TIF01620032Downtown_1.pdf, friendlyName=TIF annual reporting</x:v>
      </x:c>
      <x:c r="U120" s="24" t="e">
        <x:f>HYPERLINK("https://illinoiscomptroller.gov/constituent-services/local-government/local-government-warehouse/landingpage?code=016%2F200%2F32","Municipal report index")</x:f>
        <x:v>HYPERLINK is not implemented. linkLocation=https://illinoiscomptroller.gov/constituent-services/local-government/local-government-warehouse/landingpage?code=016%2F200%2F32, friendlyName=Municipal report index</x:v>
      </x:c>
      <x:c r="V120" s="24" t="e">
        <x:f>HYPERLINK("https://news.wttw.com/sites/default/files/article/file-attachments/2024-tif-report.pdf#page=49","Financial source")</x:f>
        <x:v>HYPERLINK is not implemented. linkLocation=https://news.wttw.com/sites/default/files/article/file-attachments/2024-tif-report.pdf#page=49, friendlyName=Financial source</x:v>
      </x:c>
      <x:c r="W120" s="24" t="str">
        <x:v>Cook County Clerk 2024 TIF report; 03-0450-505; Franklin Park - Downtown Franklin Avenue; PDF page 49</x:v>
      </x:c>
      <x:c r="X120" s="24" t="e">
        <x:f>HYPERLINK("https://www.ilga.gov/ftp/Public%20Acts/103/103-1016.htm","Name source")</x:f>
        <x:v>HYPERLINK is not implemented. linkLocation=https://www.ilga.gov/ftp/Public%20Acts/103/103-1016.htm, friendlyName=Name source</x:v>
      </x:c>
      <x:c r="Y120" s="1" t="n">
        <x:v>1</x:v>
      </x:c>
      <x:c r="Z120" s="1"/>
      <x:c r="AA120" s="1"/>
    </x:row>
    <x:row r="121" ht="54" customHeight="1">
      <x:c r="A121" s="12" t="n">
        <x:v>114</x:v>
      </x:c>
      <x:c r="B121" s="12" t="str">
        <x:v>SB 3563</x:v>
      </x:c>
      <x:c r="C121" s="12" t="str">
        <x:v>103-1016</x:v>
      </x:c>
      <x:c r="D121" s="17" t="d">
        <x:v>2024-08-09T00:00:00.000Z</x:v>
      </x:c>
      <x:c r="E121" s="18" t="str">
        <x:v>Jacksonville</x:v>
      </x:c>
      <x:c r="F121" s="13" t="str">
        <x:v>Downtown Redevelopment Project Area</x:v>
      </x:c>
      <x:c r="G121" s="15" t="d">
        <x:v>2003-09-08T00:00:00.000Z</x:v>
      </x:c>
      <x:c r="H121" s="19" t="n">
        <x:v>23</x:v>
      </x:c>
      <x:c r="I121" s="19" t="n">
        <x:v>35</x:v>
      </x:c>
      <x:c r="J121" s="19" t="n">
        <x:v>12</x:v>
      </x:c>
      <x:c r="K121" s="19" t="str">
        <x:v>c(263)</x:v>
      </x:c>
      <x:c r="L121" s="12" t="str">
        <x:v>Fiscal year 2025</x:v>
      </x:c>
      <x:c r="M121" s="23" t="n">
        <x:v>264245</x:v>
      </x:c>
      <x:c r="N121" s="22" t="n">
        <x:f>IF(ISNUMBER(M121),M121*J121,"")</x:f>
        <x:v>3170940</x:v>
      </x:c>
      <x:c r="O121" s="13" t="str">
        <x:v>Not determinable from extension law / TIF receipts alone</x:v>
      </x:c>
      <x:c r="P121" s="13" t="str"/>
      <x:c r="Q121" s="12" t="str"/>
      <x:c r="R121" s="24" t="e">
        <x:f>HYPERLINK("https://www.ilga.gov/ftp/Public%20Acts/103/103-1016.htm","Signed Public Act")</x:f>
        <x:v>HYPERLINK is not implemented. linkLocation=https://www.ilga.gov/ftp/Public%20Acts/103/103-1016.htm, friendlyName=Signed Public Act</x:v>
      </x:c>
      <x:c r="S121" s="24" t="e">
        <x:f>HYPERLINK("https://legiscan.com/IL/bill/SB3563/2023","Signing history")</x:f>
        <x:v>HYPERLINK is not implemented. linkLocation=https://legiscan.com/IL/bill/SB3563/2023, friendlyName=Signing history</x:v>
      </x:c>
      <x:c r="T121" s="24" t="e">
        <x:f>HYPERLINK("https://files.illinoiscomptroller.gov/LocGovTIF/FY2025/06902530/25TIF06902530Downtown_1.pdf","TIF annual reporting")</x:f>
        <x:v>HYPERLINK is not implemented. linkLocation=https://files.illinoiscomptroller.gov/LocGovTIF/FY2025/06902530/25TIF06902530Downtown_1.pdf, friendlyName=TIF annual reporting</x:v>
      </x:c>
      <x:c r="U121" s="24" t="e">
        <x:f>HYPERLINK("https://illinoiscomptroller.gov/constituent-services/local-government/local-government-warehouse/landingpage?code=069%2F025%2F30","Municipal report index")</x:f>
        <x:v>HYPERLINK is not implemented. linkLocation=https://illinoiscomptroller.gov/constituent-services/local-government/local-government-warehouse/landingpage?code=069%2F025%2F30, friendlyName=Municipal report index</x:v>
      </x:c>
      <x:c r="V121" s="24" t="e">
        <x:f>HYPERLINK("https://files.illinoiscomptroller.gov/LocGovTIF/FY2025/06902530/25TIF06902530Downtown_1.pdf#page=3","Financial source")</x:f>
        <x:v>HYPERLINK is not implemented. linkLocation=https://files.illinoiscomptroller.gov/LocGovTIF/FY2025/06902530/25TIF06902530Downtown_1.pdf#page=3, friendlyName=Financial source</x:v>
      </x:c>
      <x:c r="W121" s="24" t="str">
        <x:v>Municipal TIF annual report, section 3.1, current-year Property Tax Increment. FY 2025</x:v>
      </x:c>
      <x:c r="X121" s="24" t="e">
        <x:f>HYPERLINK("https://www.ilga.gov/ftp/Public%20Acts/103/103-1016.htm","Name source")</x:f>
        <x:v>HYPERLINK is not implemented. linkLocation=https://www.ilga.gov/ftp/Public%20Acts/103/103-1016.htm, friendlyName=Name source</x:v>
      </x:c>
      <x:c r="Y121" s="1" t="n">
        <x:v>1</x:v>
      </x:c>
      <x:c r="Z121" s="1"/>
      <x:c r="AA121" s="1"/>
    </x:row>
    <x:row r="122" ht="54" customHeight="1">
      <x:c r="A122" s="12" t="n">
        <x:v>115</x:v>
      </x:c>
      <x:c r="B122" s="12" t="str">
        <x:v>SB 3563</x:v>
      </x:c>
      <x:c r="C122" s="12" t="str">
        <x:v>103-1016</x:v>
      </x:c>
      <x:c r="D122" s="17" t="d">
        <x:v>2024-08-09T00:00:00.000Z</x:v>
      </x:c>
      <x:c r="E122" s="18" t="str">
        <x:v>Prophetstown</x:v>
      </x:c>
      <x:c r="F122" s="13" t="str">
        <x:v>Redevelopment Project Area No. 1</x:v>
      </x:c>
      <x:c r="G122" s="15" t="d">
        <x:v>2002-08-13T00:00:00.000Z</x:v>
      </x:c>
      <x:c r="H122" s="19" t="n">
        <x:v>23</x:v>
      </x:c>
      <x:c r="I122" s="19" t="n">
        <x:v>35</x:v>
      </x:c>
      <x:c r="J122" s="19" t="n">
        <x:v>12</x:v>
      </x:c>
      <x:c r="K122" s="19" t="str">
        <x:v>c(264)</x:v>
      </x:c>
      <x:c r="L122" s="12" t="str">
        <x:v>Fiscal year 2024</x:v>
      </x:c>
      <x:c r="M122" s="23" t="n">
        <x:v>218349</x:v>
      </x:c>
      <x:c r="N122" s="22" t="n">
        <x:f>IF(ISNUMBER(M122),M122*J122,"")</x:f>
        <x:v>2620188</x:v>
      </x:c>
      <x:c r="O122" s="13" t="str">
        <x:v>Not determinable from extension law / TIF receipts alone</x:v>
      </x:c>
      <x:c r="P122" s="13" t="str"/>
      <x:c r="Q122" s="12" t="str"/>
      <x:c r="R122" s="24" t="e">
        <x:f>HYPERLINK("https://www.ilga.gov/ftp/Public%20Acts/103/103-1016.htm","Signed Public Act")</x:f>
        <x:v>HYPERLINK is not implemented. linkLocation=https://www.ilga.gov/ftp/Public%20Acts/103/103-1016.htm, friendlyName=Signed Public Act</x:v>
      </x:c>
      <x:c r="S122" s="24" t="e">
        <x:f>HYPERLINK("https://legiscan.com/IL/bill/SB3563/2023","Signing history")</x:f>
        <x:v>HYPERLINK is not implemented. linkLocation=https://legiscan.com/IL/bill/SB3563/2023, friendlyName=Signing history</x:v>
      </x:c>
      <x:c r="T122" s="24" t="e">
        <x:f>HYPERLINK("https://files.illinoiscomptroller.gov/LocGovTIF/FY2024/09804530/24TIF09804530TIF_1_1.pdf","TIF annual reporting")</x:f>
        <x:v>HYPERLINK is not implemented. linkLocation=https://files.illinoiscomptroller.gov/LocGovTIF/FY2024/09804530/24TIF09804530TIF_1_1.pdf, friendlyName=TIF annual reporting</x:v>
      </x:c>
      <x:c r="U122" s="24" t="e">
        <x:f>HYPERLINK("https://illinoiscomptroller.gov/constituent-services/local-government/local-government-warehouse/landingpage?code=098%2F045%2F30","Municipal report index")</x:f>
        <x:v>HYPERLINK is not implemented. linkLocation=https://illinoiscomptroller.gov/constituent-services/local-government/local-government-warehouse/landingpage?code=098%2F045%2F30, friendlyName=Municipal report index</x:v>
      </x:c>
      <x:c r="V122" s="24" t="e">
        <x:f>HYPERLINK("https://files.illinoiscomptroller.gov/LocGovTIF/FY2024/09804530/24TIF09804530TIF_1_1.pdf#page=3","Financial source")</x:f>
        <x:v>HYPERLINK is not implemented. linkLocation=https://files.illinoiscomptroller.gov/LocGovTIF/FY2024/09804530/24TIF09804530TIF_1_1.pdf#page=3, friendlyName=Financial source</x:v>
      </x:c>
      <x:c r="W122" s="24" t="str">
        <x:v>Municipal TIF annual report, section 3.1, current-year Property Tax Increment. FY 2024</x:v>
      </x:c>
      <x:c r="X122" s="24" t="e">
        <x:f>HYPERLINK("https://www.ilga.gov/ftp/Public%20Acts/103/103-1016.htm","Name source")</x:f>
        <x:v>HYPERLINK is not implemented. linkLocation=https://www.ilga.gov/ftp/Public%20Acts/103/103-1016.htm, friendlyName=Name source</x:v>
      </x:c>
      <x:c r="Y122" s="1" t="n">
        <x:v>1</x:v>
      </x:c>
      <x:c r="Z122" s="1"/>
      <x:c r="AA122" s="1"/>
    </x:row>
    <x:row r="123" ht="54" customHeight="1">
      <x:c r="A123" s="12" t="n">
        <x:v>116</x:v>
      </x:c>
      <x:c r="B123" s="12" t="str">
        <x:v>SB 3563</x:v>
      </x:c>
      <x:c r="C123" s="12" t="str">
        <x:v>103-1016</x:v>
      </x:c>
      <x:c r="D123" s="17" t="d">
        <x:v>2024-08-09T00:00:00.000Z</x:v>
      </x:c>
      <x:c r="E123" s="18" t="str">
        <x:v>Ottawa</x:v>
      </x:c>
      <x:c r="F123" s="13" t="str">
        <x:v>Ottawa Dayton Industrial TIF District</x:v>
      </x:c>
      <x:c r="G123" s="15" t="d">
        <x:v>2006-08-29T00:00:00.000Z</x:v>
      </x:c>
      <x:c r="H123" s="19" t="n">
        <x:v>23</x:v>
      </x:c>
      <x:c r="I123" s="19" t="n">
        <x:v>35</x:v>
      </x:c>
      <x:c r="J123" s="19" t="n">
        <x:v>12</x:v>
      </x:c>
      <x:c r="K123" s="19" t="str">
        <x:v>c(265)</x:v>
      </x:c>
      <x:c r="L123" s="12" t="str">
        <x:v>Fiscal year 2025</x:v>
      </x:c>
      <x:c r="M123" s="23" t="n">
        <x:v>853476</x:v>
      </x:c>
      <x:c r="N123" s="22" t="n">
        <x:f>IF(ISNUMBER(M123),M123*J123,"")</x:f>
        <x:v>10241712</x:v>
      </x:c>
      <x:c r="O123" s="13" t="str">
        <x:v>Not determinable from extension law / TIF receipts alone</x:v>
      </x:c>
      <x:c r="P123" s="13" t="str"/>
      <x:c r="Q123" s="12" t="str"/>
      <x:c r="R123" s="24" t="e">
        <x:f>HYPERLINK("https://www.ilga.gov/ftp/Public%20Acts/103/103-1016.htm","Signed Public Act")</x:f>
        <x:v>HYPERLINK is not implemented. linkLocation=https://www.ilga.gov/ftp/Public%20Acts/103/103-1016.htm, friendlyName=Signed Public Act</x:v>
      </x:c>
      <x:c r="S123" s="24" t="e">
        <x:f>HYPERLINK("https://legiscan.com/IL/bill/SB3563/2023","Signing history")</x:f>
        <x:v>HYPERLINK is not implemented. linkLocation=https://legiscan.com/IL/bill/SB3563/2023, friendlyName=Signing history</x:v>
      </x:c>
      <x:c r="T123" s="24" t="e">
        <x:f>HYPERLINK("https://files.illinoiscomptroller.gov/LocGovTIF/FY2025/05008030/25TIF05008030Dayton_Inrial_TIF_1.pdf","TIF annual reporting")</x:f>
        <x:v>HYPERLINK is not implemented. linkLocation=https://files.illinoiscomptroller.gov/LocGovTIF/FY2025/05008030/25TIF05008030Dayton_Inrial_TIF_1.pdf, friendlyName=TIF annual reporting</x:v>
      </x:c>
      <x:c r="U123" s="24" t="e">
        <x:f>HYPERLINK("https://illinoiscomptroller.gov/constituent-services/local-government/local-government-warehouse/landingpage?code=050%2F080%2F30","Municipal report index")</x:f>
        <x:v>HYPERLINK is not implemented. linkLocation=https://illinoiscomptroller.gov/constituent-services/local-government/local-government-warehouse/landingpage?code=050%2F080%2F30, friendlyName=Municipal report index</x:v>
      </x:c>
      <x:c r="V123" s="24" t="e">
        <x:f>HYPERLINK("https://files.illinoiscomptroller.gov/LocGovTIF/FY2025/05008030/25TIF05008030Dayton_Inrial_TIF_1.pdf#page=3","Financial source")</x:f>
        <x:v>HYPERLINK is not implemented. linkLocation=https://files.illinoiscomptroller.gov/LocGovTIF/FY2025/05008030/25TIF05008030Dayton_Inrial_TIF_1.pdf#page=3, friendlyName=Financial source</x:v>
      </x:c>
      <x:c r="W123" s="24" t="str">
        <x:v>Municipal TIF annual report, section 3.1, current-year Property Tax Increment. FY 2025</x:v>
      </x:c>
      <x:c r="X123" s="24" t="e">
        <x:f>HYPERLINK("https://www.ilga.gov/ftp/Public%20Acts/103/103-1016.htm","Name source")</x:f>
        <x:v>HYPERLINK is not implemented. linkLocation=https://www.ilga.gov/ftp/Public%20Acts/103/103-1016.htm, friendlyName=Name source</x:v>
      </x:c>
      <x:c r="Y123" s="1" t="n">
        <x:v>1</x:v>
      </x:c>
      <x:c r="Z123" s="1"/>
      <x:c r="AA123" s="1"/>
    </x:row>
    <x:row r="124" ht="54" customHeight="1">
      <x:c r="A124" s="12" t="n">
        <x:v>117</x:v>
      </x:c>
      <x:c r="B124" s="12" t="str">
        <x:v>SB 3563</x:v>
      </x:c>
      <x:c r="C124" s="12" t="str">
        <x:v>103-1016</x:v>
      </x:c>
      <x:c r="D124" s="17" t="d">
        <x:v>2024-08-09T00:00:00.000Z</x:v>
      </x:c>
      <x:c r="E124" s="18" t="str">
        <x:v>Ottawa</x:v>
      </x:c>
      <x:c r="F124" s="13" t="str">
        <x:v>Ottawa Canal TIF District</x:v>
      </x:c>
      <x:c r="G124" s="15" t="d">
        <x:v>2006-06-27T00:00:00.000Z</x:v>
      </x:c>
      <x:c r="H124" s="19" t="n">
        <x:v>23</x:v>
      </x:c>
      <x:c r="I124" s="19" t="n">
        <x:v>35</x:v>
      </x:c>
      <x:c r="J124" s="19" t="n">
        <x:v>12</x:v>
      </x:c>
      <x:c r="K124" s="19" t="str">
        <x:v>c(266)</x:v>
      </x:c>
      <x:c r="L124" s="12" t="str">
        <x:v>Fiscal year 2025</x:v>
      </x:c>
      <x:c r="M124" s="23" t="n">
        <x:v>2506006</x:v>
      </x:c>
      <x:c r="N124" s="22" t="n">
        <x:f>IF(ISNUMBER(M124),M124*J124,"")</x:f>
        <x:v>30072072</x:v>
      </x:c>
      <x:c r="O124" s="13" t="str">
        <x:v>Not determinable from extension law / TIF receipts alone</x:v>
      </x:c>
      <x:c r="P124" s="13" t="str"/>
      <x:c r="Q124" s="12" t="str"/>
      <x:c r="R124" s="24" t="e">
        <x:f>HYPERLINK("https://www.ilga.gov/ftp/Public%20Acts/103/103-1016.htm","Signed Public Act")</x:f>
        <x:v>HYPERLINK is not implemented. linkLocation=https://www.ilga.gov/ftp/Public%20Acts/103/103-1016.htm, friendlyName=Signed Public Act</x:v>
      </x:c>
      <x:c r="S124" s="24" t="e">
        <x:f>HYPERLINK("https://legiscan.com/IL/bill/SB3563/2023","Signing history")</x:f>
        <x:v>HYPERLINK is not implemented. linkLocation=https://legiscan.com/IL/bill/SB3563/2023, friendlyName=Signing history</x:v>
      </x:c>
      <x:c r="T124" s="24" t="e">
        <x:f>HYPERLINK("https://files.illinoiscomptroller.gov/LocGovTIF/FY2025/05008030/25TIF05008030Canal_TIF_1.pdf","TIF annual reporting")</x:f>
        <x:v>HYPERLINK is not implemented. linkLocation=https://files.illinoiscomptroller.gov/LocGovTIF/FY2025/05008030/25TIF05008030Canal_TIF_1.pdf, friendlyName=TIF annual reporting</x:v>
      </x:c>
      <x:c r="U124" s="24" t="e">
        <x:f>HYPERLINK("https://illinoiscomptroller.gov/constituent-services/local-government/local-government-warehouse/landingpage?code=050%2F080%2F30","Municipal report index")</x:f>
        <x:v>HYPERLINK is not implemented. linkLocation=https://illinoiscomptroller.gov/constituent-services/local-government/local-government-warehouse/landingpage?code=050%2F080%2F30, friendlyName=Municipal report index</x:v>
      </x:c>
      <x:c r="V124" s="24" t="e">
        <x:f>HYPERLINK("https://files.illinoiscomptroller.gov/LocGovTIF/FY2025/05008030/25TIF05008030Canal_TIF_1.pdf#page=3","Financial source")</x:f>
        <x:v>HYPERLINK is not implemented. linkLocation=https://files.illinoiscomptroller.gov/LocGovTIF/FY2025/05008030/25TIF05008030Canal_TIF_1.pdf#page=3, friendlyName=Financial source</x:v>
      </x:c>
      <x:c r="W124" s="24" t="str">
        <x:v>Municipal TIF annual report, section 3.1, current-year Property Tax Increment. FY 2025</x:v>
      </x:c>
      <x:c r="X124" s="24" t="e">
        <x:f>HYPERLINK("https://www.ilga.gov/ftp/Public%20Acts/103/103-1016.htm","Name source")</x:f>
        <x:v>HYPERLINK is not implemented. linkLocation=https://www.ilga.gov/ftp/Public%20Acts/103/103-1016.htm, friendlyName=Name source</x:v>
      </x:c>
      <x:c r="Y124" s="1" t="n">
        <x:v>1</x:v>
      </x:c>
      <x:c r="Z124" s="1"/>
      <x:c r="AA124" s="1"/>
    </x:row>
    <x:row r="125" ht="54" customHeight="1">
      <x:c r="A125" s="12" t="n">
        <x:v>118</x:v>
      </x:c>
      <x:c r="B125" s="12" t="str">
        <x:v>SB 3563</x:v>
      </x:c>
      <x:c r="C125" s="12" t="str">
        <x:v>103-1016</x:v>
      </x:c>
      <x:c r="D125" s="17" t="d">
        <x:v>2024-08-09T00:00:00.000Z</x:v>
      </x:c>
      <x:c r="E125" s="18" t="str">
        <x:v>Salem</x:v>
      </x:c>
      <x:c r="F125" s="13" t="str">
        <x:v>TIF No 2 - Redevelopment Area</x:v>
      </x:c>
      <x:c r="G125" s="15" t="d">
        <x:v>2001-03-05T00:00:00.000Z</x:v>
      </x:c>
      <x:c r="H125" s="19" t="n">
        <x:v>23</x:v>
      </x:c>
      <x:c r="I125" s="19" t="n">
        <x:v>35</x:v>
      </x:c>
      <x:c r="J125" s="19" t="n">
        <x:v>12</x:v>
      </x:c>
      <x:c r="K125" s="19" t="str">
        <x:v>c(267)</x:v>
      </x:c>
      <x:c r="L125" s="12" t="str">
        <x:v>Fiscal year 2025</x:v>
      </x:c>
      <x:c r="M125" s="23" t="n">
        <x:v>219883</x:v>
      </x:c>
      <x:c r="N125" s="22" t="n">
        <x:f>IF(ISNUMBER(M125),M125*J125,"")</x:f>
        <x:v>2638596</x:v>
      </x:c>
      <x:c r="O125" s="13" t="str">
        <x:v>Not determinable from extension law / TIF receipts alone</x:v>
      </x:c>
      <x:c r="P125" s="13" t="str"/>
      <x:c r="Q125" s="12" t="str"/>
      <x:c r="R125" s="24" t="e">
        <x:f>HYPERLINK("https://www.ilga.gov/ftp/Public%20Acts/103/103-1016.htm","Signed Public Act")</x:f>
        <x:v>HYPERLINK is not implemented. linkLocation=https://www.ilga.gov/ftp/Public%20Acts/103/103-1016.htm, friendlyName=Signed Public Act</x:v>
      </x:c>
      <x:c r="S125" s="24" t="e">
        <x:f>HYPERLINK("https://legiscan.com/IL/bill/SB3563/2023","Signing history")</x:f>
        <x:v>HYPERLINK is not implemented. linkLocation=https://legiscan.com/IL/bill/SB3563/2023, friendlyName=Signing history</x:v>
      </x:c>
      <x:c r="T125" s="24" t="e">
        <x:f>HYPERLINK("https://files.illinoiscomptroller.gov/LocGovTIF/FY2025/05805530/25TIF05805530TIF__2_1.pdf","TIF annual reporting")</x:f>
        <x:v>HYPERLINK is not implemented. linkLocation=https://files.illinoiscomptroller.gov/LocGovTIF/FY2025/05805530/25TIF05805530TIF__2_1.pdf, friendlyName=TIF annual reporting</x:v>
      </x:c>
      <x:c r="U125" s="24" t="e">
        <x:f>HYPERLINK("https://illinoiscomptroller.gov/constituent-services/local-government/local-government-warehouse/landingpage?code=058%2F055%2F30","Municipal report index")</x:f>
        <x:v>HYPERLINK is not implemented. linkLocation=https://illinoiscomptroller.gov/constituent-services/local-government/local-government-warehouse/landingpage?code=058%2F055%2F30, friendlyName=Municipal report index</x:v>
      </x:c>
      <x:c r="V125" s="24" t="e">
        <x:f>HYPERLINK("https://files.illinoiscomptroller.gov/LocGovTIF/FY2025/05805530/25TIF05805530TIF__2_1.pdf#page=3","Financial source")</x:f>
        <x:v>HYPERLINK is not implemented. linkLocation=https://files.illinoiscomptroller.gov/LocGovTIF/FY2025/05805530/25TIF05805530TIF__2_1.pdf#page=3, friendlyName=Financial source</x:v>
      </x:c>
      <x:c r="W125" s="24" t="str">
        <x:v>Municipal TIF annual report, section 3.1, current-year Property Tax Increment. FY 2025</x:v>
      </x:c>
      <x:c r="X125" s="24" t="e">
        <x:f>HYPERLINK("https://www.ilga.gov/ftp/Public%20Acts/103/103-1016.htm","Name source")</x:f>
        <x:v>HYPERLINK is not implemented. linkLocation=https://www.ilga.gov/ftp/Public%20Acts/103/103-1016.htm, friendlyName=Name source</x:v>
      </x:c>
      <x:c r="Y125" s="1" t="n">
        <x:v>1</x:v>
      </x:c>
      <x:c r="Z125" s="1"/>
      <x:c r="AA125" s="1"/>
    </x:row>
    <x:row r="126" ht="54" customHeight="1">
      <x:c r="A126" s="12" t="n">
        <x:v>119</x:v>
      </x:c>
      <x:c r="B126" s="12" t="str">
        <x:v>SB 3563</x:v>
      </x:c>
      <x:c r="C126" s="12" t="str">
        <x:v>103-1016</x:v>
      </x:c>
      <x:c r="D126" s="17" t="d">
        <x:v>2024-08-09T00:00:00.000Z</x:v>
      </x:c>
      <x:c r="E126" s="18" t="str">
        <x:v>Malta</x:v>
      </x:c>
      <x:c r="F126" s="13" t="str">
        <x:v>Harkness Property redevelopment project area</x:v>
      </x:c>
      <x:c r="G126" s="15" t="d">
        <x:v>2002-01-23T00:00:00.000Z</x:v>
      </x:c>
      <x:c r="H126" s="19" t="n">
        <x:v>23</x:v>
      </x:c>
      <x:c r="I126" s="19" t="n">
        <x:v>35</x:v>
      </x:c>
      <x:c r="J126" s="19" t="n">
        <x:v>12</x:v>
      </x:c>
      <x:c r="K126" s="19" t="str">
        <x:v>c(268)</x:v>
      </x:c>
      <x:c r="L126" s="12" t="str">
        <x:v>Fiscal year 2025</x:v>
      </x:c>
      <x:c r="M126" s="23" t="n">
        <x:v>435294</x:v>
      </x:c>
      <x:c r="N126" s="22" t="n">
        <x:f>IF(ISNUMBER(M126),M126*J126,"")</x:f>
        <x:v>5223528</x:v>
      </x:c>
      <x:c r="O126" s="13" t="str">
        <x:v>Not determinable from extension law / TIF receipts alone</x:v>
      </x:c>
      <x:c r="P126" s="13" t="str"/>
      <x:c r="Q126" s="12" t="str"/>
      <x:c r="R126" s="24" t="e">
        <x:f>HYPERLINK("https://www.ilga.gov/ftp/Public%20Acts/103/103-1016.htm","Signed Public Act")</x:f>
        <x:v>HYPERLINK is not implemented. linkLocation=https://www.ilga.gov/ftp/Public%20Acts/103/103-1016.htm, friendlyName=Signed Public Act</x:v>
      </x:c>
      <x:c r="S126" s="24" t="e">
        <x:f>HYPERLINK("https://legiscan.com/IL/bill/SB3563/2023","Signing history")</x:f>
        <x:v>HYPERLINK is not implemented. linkLocation=https://legiscan.com/IL/bill/SB3563/2023, friendlyName=Signing history</x:v>
      </x:c>
      <x:c r="T126" s="24" t="e">
        <x:f>HYPERLINK("https://files.illinoiscomptroller.gov/LocGovTIF/FY2025/01904532/25TIF01904532Harkness_Property_1.pdf","TIF annual reporting")</x:f>
        <x:v>HYPERLINK is not implemented. linkLocation=https://files.illinoiscomptroller.gov/LocGovTIF/FY2025/01904532/25TIF01904532Harkness_Property_1.pdf, friendlyName=TIF annual reporting</x:v>
      </x:c>
      <x:c r="U126" s="24" t="e">
        <x:f>HYPERLINK("https://illinoiscomptroller.gov/constituent-services/local-government/local-government-warehouse/landingpage?code=019%2F045%2F32","Municipal report index")</x:f>
        <x:v>HYPERLINK is not implemented. linkLocation=https://illinoiscomptroller.gov/constituent-services/local-government/local-government-warehouse/landingpage?code=019%2F045%2F32, friendlyName=Municipal report index</x:v>
      </x:c>
      <x:c r="V126" s="24" t="e">
        <x:f>HYPERLINK("https://files.illinoiscomptroller.gov/LocGovTIF/FY2025/01904532/25TIF01904532Harkness_Property_1.pdf#page=3","Financial source")</x:f>
        <x:v>HYPERLINK is not implemented. linkLocation=https://files.illinoiscomptroller.gov/LocGovTIF/FY2025/01904532/25TIF01904532Harkness_Property_1.pdf#page=3, friendlyName=Financial source</x:v>
      </x:c>
      <x:c r="W126" s="24" t="str">
        <x:v>Municipal TIF annual report, section 3.1, current-year Property Tax Increment. FY 2025</x:v>
      </x:c>
      <x:c r="X126" s="24" t="e">
        <x:f>HYPERLINK("https://www.ilga.gov/ftp/Public%20Acts/103/103-1016.htm","Name source")</x:f>
        <x:v>HYPERLINK is not implemented. linkLocation=https://www.ilga.gov/ftp/Public%20Acts/103/103-1016.htm, friendlyName=Name source</x:v>
      </x:c>
      <x:c r="Y126" s="1" t="n">
        <x:v>1</x:v>
      </x:c>
      <x:c r="Z126" s="1"/>
      <x:c r="AA126" s="1"/>
    </x:row>
    <x:row r="127" ht="54" customHeight="1">
      <x:c r="A127" s="12" t="n">
        <x:v>120</x:v>
      </x:c>
      <x:c r="B127" s="12" t="str">
        <x:v>SB 3563</x:v>
      </x:c>
      <x:c r="C127" s="12" t="str">
        <x:v>103-1016</x:v>
      </x:c>
      <x:c r="D127" s="17" t="d">
        <x:v>2024-08-09T00:00:00.000Z</x:v>
      </x:c>
      <x:c r="E127" s="18" t="str">
        <x:v>Highland</x:v>
      </x:c>
      <x:c r="F127" s="13" t="str">
        <x:v>TIF #1</x:v>
      </x:c>
      <x:c r="G127" s="15" t="d">
        <x:v>2008-06-16T00:00:00.000Z</x:v>
      </x:c>
      <x:c r="H127" s="19" t="n">
        <x:v>23</x:v>
      </x:c>
      <x:c r="I127" s="19" t="n">
        <x:v>35</x:v>
      </x:c>
      <x:c r="J127" s="19" t="n">
        <x:v>12</x:v>
      </x:c>
      <x:c r="K127" s="19" t="str">
        <x:v>c(269)</x:v>
      </x:c>
      <x:c r="L127" s="12" t="str">
        <x:v>Fiscal year 2025</x:v>
      </x:c>
      <x:c r="M127" s="23" t="n">
        <x:v>342048</x:v>
      </x:c>
      <x:c r="N127" s="22" t="n">
        <x:f>IF(ISNUMBER(M127),M127*J127,"")</x:f>
        <x:v>4104576</x:v>
      </x:c>
      <x:c r="O127" s="13" t="str">
        <x:v>Not determinable from extension law / TIF receipts alone</x:v>
      </x:c>
      <x:c r="P127" s="13" t="str"/>
      <x:c r="Q127" s="12" t="str"/>
      <x:c r="R127" s="24" t="e">
        <x:f>HYPERLINK("https://www.ilga.gov/ftp/Public%20Acts/103/103-1016.htm","Signed Public Act")</x:f>
        <x:v>HYPERLINK is not implemented. linkLocation=https://www.ilga.gov/ftp/Public%20Acts/103/103-1016.htm, friendlyName=Signed Public Act</x:v>
      </x:c>
      <x:c r="S127" s="24" t="e">
        <x:f>HYPERLINK("https://legiscan.com/IL/bill/SB3563/2023","Signing history")</x:f>
        <x:v>HYPERLINK is not implemented. linkLocation=https://legiscan.com/IL/bill/SB3563/2023, friendlyName=Signing history</x:v>
      </x:c>
      <x:c r="T127" s="24" t="e">
        <x:f>HYPERLINK("https://files.illinoiscomptroller.gov/LocGovTIF/FY2025/05706530/25TIF05706530TIF_1_1.pdf","TIF annual reporting")</x:f>
        <x:v>HYPERLINK is not implemented. linkLocation=https://files.illinoiscomptroller.gov/LocGovTIF/FY2025/05706530/25TIF05706530TIF_1_1.pdf, friendlyName=TIF annual reporting</x:v>
      </x:c>
      <x:c r="U127" s="24" t="e">
        <x:f>HYPERLINK("https://illinoiscomptroller.gov/constituent-services/local-government/local-government-warehouse/landingpage?code=057%2F065%2F30","Municipal report index")</x:f>
        <x:v>HYPERLINK is not implemented. linkLocation=https://illinoiscomptroller.gov/constituent-services/local-government/local-government-warehouse/landingpage?code=057%2F065%2F30, friendlyName=Municipal report index</x:v>
      </x:c>
      <x:c r="V127" s="24" t="e">
        <x:f>HYPERLINK("https://files.illinoiscomptroller.gov/LocGovTIF/FY2025/05706530/25TIF05706530TIF_1_1.pdf#page=3","Financial source")</x:f>
        <x:v>HYPERLINK is not implemented. linkLocation=https://files.illinoiscomptroller.gov/LocGovTIF/FY2025/05706530/25TIF05706530TIF_1_1.pdf#page=3, friendlyName=Financial source</x:v>
      </x:c>
      <x:c r="W127" s="24" t="str">
        <x:v>Municipal TIF annual report, section 3.1, current-year Property Tax Increment. FY 2025</x:v>
      </x:c>
      <x:c r="X127" s="24" t="e">
        <x:f>HYPERLINK("https://www.ilga.gov/ftp/Public%20Acts/103/103-1016.htm","Name source")</x:f>
        <x:v>HYPERLINK is not implemented. linkLocation=https://www.ilga.gov/ftp/Public%20Acts/103/103-1016.htm, friendlyName=Name source</x:v>
      </x:c>
      <x:c r="Y127" s="1" t="n">
        <x:v>1</x:v>
      </x:c>
      <x:c r="Z127" s="1"/>
      <x:c r="AA127" s="1"/>
    </x:row>
    <x:row r="128" ht="54" customHeight="1">
      <x:c r="A128" s="12" t="n">
        <x:v>121</x:v>
      </x:c>
      <x:c r="B128" s="12" t="str">
        <x:v>SB 3563</x:v>
      </x:c>
      <x:c r="C128" s="12" t="str">
        <x:v>103-1016</x:v>
      </x:c>
      <x:c r="D128" s="17" t="d">
        <x:v>2024-08-09T00:00:00.000Z</x:v>
      </x:c>
      <x:c r="E128" s="18" t="str">
        <x:v>Highland</x:v>
      </x:c>
      <x:c r="F128" s="13" t="str">
        <x:v>TIF #2</x:v>
      </x:c>
      <x:c r="G128" s="15" t="d">
        <x:v>2012-01-03T00:00:00.000Z</x:v>
      </x:c>
      <x:c r="H128" s="19" t="n">
        <x:v>23</x:v>
      </x:c>
      <x:c r="I128" s="19" t="n">
        <x:v>35</x:v>
      </x:c>
      <x:c r="J128" s="19" t="n">
        <x:v>12</x:v>
      </x:c>
      <x:c r="K128" s="19" t="str">
        <x:v>c(270)</x:v>
      </x:c>
      <x:c r="L128" s="12" t="str">
        <x:v>Fiscal year 2025</x:v>
      </x:c>
      <x:c r="M128" s="23" t="n">
        <x:v>534741</x:v>
      </x:c>
      <x:c r="N128" s="22" t="n">
        <x:f>IF(ISNUMBER(M128),M128*J128,"")</x:f>
        <x:v>6416892</x:v>
      </x:c>
      <x:c r="O128" s="13" t="str">
        <x:v>Not determinable from extension law / TIF receipts alone</x:v>
      </x:c>
      <x:c r="P128" s="13" t="str"/>
      <x:c r="Q128" s="12" t="str"/>
      <x:c r="R128" s="24" t="e">
        <x:f>HYPERLINK("https://www.ilga.gov/ftp/Public%20Acts/103/103-1016.htm","Signed Public Act")</x:f>
        <x:v>HYPERLINK is not implemented. linkLocation=https://www.ilga.gov/ftp/Public%20Acts/103/103-1016.htm, friendlyName=Signed Public Act</x:v>
      </x:c>
      <x:c r="S128" s="24" t="e">
        <x:f>HYPERLINK("https://legiscan.com/IL/bill/SB3563/2023","Signing history")</x:f>
        <x:v>HYPERLINK is not implemented. linkLocation=https://legiscan.com/IL/bill/SB3563/2023, friendlyName=Signing history</x:v>
      </x:c>
      <x:c r="T128" s="24" t="e">
        <x:f>HYPERLINK("https://files.illinoiscomptroller.gov/LocGovTIF/FY2025/05706530/25TIF05706530TIF_2_1.pdf","TIF annual reporting")</x:f>
        <x:v>HYPERLINK is not implemented. linkLocation=https://files.illinoiscomptroller.gov/LocGovTIF/FY2025/05706530/25TIF05706530TIF_2_1.pdf, friendlyName=TIF annual reporting</x:v>
      </x:c>
      <x:c r="U128" s="24" t="e">
        <x:f>HYPERLINK("https://illinoiscomptroller.gov/constituent-services/local-government/local-government-warehouse/landingpage?code=057%2F065%2F30","Municipal report index")</x:f>
        <x:v>HYPERLINK is not implemented. linkLocation=https://illinoiscomptroller.gov/constituent-services/local-government/local-government-warehouse/landingpage?code=057%2F065%2F30, friendlyName=Municipal report index</x:v>
      </x:c>
      <x:c r="V128" s="24" t="e">
        <x:f>HYPERLINK("https://files.illinoiscomptroller.gov/LocGovTIF/FY2025/05706530/25TIF05706530TIF_2_1.pdf#page=3","Financial source")</x:f>
        <x:v>HYPERLINK is not implemented. linkLocation=https://files.illinoiscomptroller.gov/LocGovTIF/FY2025/05706530/25TIF05706530TIF_2_1.pdf#page=3, friendlyName=Financial source</x:v>
      </x:c>
      <x:c r="W128" s="24" t="str">
        <x:v>Municipal TIF annual report, section 3.1, current-year Property Tax Increment. FY 2025</x:v>
      </x:c>
      <x:c r="X128" s="24" t="e">
        <x:f>HYPERLINK("https://www.ilga.gov/ftp/Public%20Acts/103/103-1016.htm","Name source")</x:f>
        <x:v>HYPERLINK is not implemented. linkLocation=https://www.ilga.gov/ftp/Public%20Acts/103/103-1016.htm, friendlyName=Name source</x:v>
      </x:c>
      <x:c r="Y128" s="1" t="n">
        <x:v>1</x:v>
      </x:c>
      <x:c r="Z128" s="1"/>
      <x:c r="AA128" s="1"/>
    </x:row>
    <x:row r="129" ht="54" customHeight="1">
      <x:c r="A129" s="12" t="n">
        <x:v>122</x:v>
      </x:c>
      <x:c r="B129" s="12" t="str">
        <x:v>SB 3563</x:v>
      </x:c>
      <x:c r="C129" s="12" t="str">
        <x:v>103-1016</x:v>
      </x:c>
      <x:c r="D129" s="17" t="d">
        <x:v>2024-08-09T00:00:00.000Z</x:v>
      </x:c>
      <x:c r="E129" s="18" t="str">
        <x:v>Chicago</x:v>
      </x:c>
      <x:c r="F129" s="13" t="str">
        <x:v>Belmont/Central redevelopment project area</x:v>
      </x:c>
      <x:c r="G129" s="15" t="d">
        <x:v>2000-01-01T00:00:00.000Z</x:v>
      </x:c>
      <x:c r="H129" s="19" t="n">
        <x:v>23</x:v>
      </x:c>
      <x:c r="I129" s="19" t="n">
        <x:v>35</x:v>
      </x:c>
      <x:c r="J129" s="19" t="n">
        <x:v>12</x:v>
      </x:c>
      <x:c r="K129" s="19" t="str">
        <x:v>c(271)</x:v>
      </x:c>
      <x:c r="L129" s="12" t="str">
        <x:v>Tax year 2024</x:v>
      </x:c>
      <x:c r="M129" s="23" t="n">
        <x:v>10384068.07</x:v>
      </x:c>
      <x:c r="N129" s="22" t="n">
        <x:f>IF(ISNUMBER(M129),M129*J129,"")</x:f>
        <x:v>124608816.84</x:v>
      </x:c>
      <x:c r="O129" s="13" t="str">
        <x:v>Not determinable from extension law / TIF receipts alone</x:v>
      </x:c>
      <x:c r="P129" s="13" t="str"/>
      <x:c r="Q129" s="12" t="str"/>
      <x:c r="R129" s="24" t="e">
        <x:f>HYPERLINK("https://www.ilga.gov/ftp/Public%20Acts/103/103-1016.htm","Signed Public Act")</x:f>
        <x:v>HYPERLINK is not implemented. linkLocation=https://www.ilga.gov/ftp/Public%20Acts/103/103-1016.htm, friendlyName=Signed Public Act</x:v>
      </x:c>
      <x:c r="S129" s="24" t="e">
        <x:f>HYPERLINK("https://legiscan.com/IL/bill/SB3563/2023","Signing history")</x:f>
        <x:v>HYPERLINK is not implemented. linkLocation=https://legiscan.com/IL/bill/SB3563/2023, friendlyName=Signing history</x:v>
      </x:c>
      <x:c r="T129"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29"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29" s="24" t="e">
        <x:f>HYPERLINK("https://news.wttw.com/sites/default/files/article/file-attachments/2024-tif-report.pdf#page=39","Financial source")</x:f>
        <x:v>HYPERLINK is not implemented. linkLocation=https://news.wttw.com/sites/default/files/article/file-attachments/2024-tif-report.pdf#page=39, friendlyName=Financial source</x:v>
      </x:c>
      <x:c r="W129" s="24" t="str">
        <x:v>Cook County Clerk 2024 TIF report; 03-0210-526; Chicago - Belmont / Central; PDF page 39</x:v>
      </x:c>
      <x:c r="X129" s="24" t="e">
        <x:f>HYPERLINK("https://www.ilga.gov/ftp/Public%20Acts/103/103-1016.htm","Name source")</x:f>
        <x:v>HYPERLINK is not implemented. linkLocation=https://www.ilga.gov/ftp/Public%20Acts/103/103-1016.htm, friendlyName=Name source</x:v>
      </x:c>
      <x:c r="Y129" s="1" t="n">
        <x:v>1</x:v>
      </x:c>
      <x:c r="Z129" s="1"/>
      <x:c r="AA129" s="1"/>
    </x:row>
    <x:row r="130" ht="54" customHeight="1">
      <x:c r="A130" s="12" t="n">
        <x:v>123</x:v>
      </x:c>
      <x:c r="B130" s="12" t="str">
        <x:v>SB 3563</x:v>
      </x:c>
      <x:c r="C130" s="12" t="str">
        <x:v>103-1016</x:v>
      </x:c>
      <x:c r="D130" s="17" t="d">
        <x:v>2024-08-09T00:00:00.000Z</x:v>
      </x:c>
      <x:c r="E130" s="18" t="str">
        <x:v>Chicago</x:v>
      </x:c>
      <x:c r="F130" s="13" t="str">
        <x:v>Englewood Neighborhood redevelopment project area</x:v>
      </x:c>
      <x:c r="G130" s="15" t="d">
        <x:v>2001-06-27T00:00:00.000Z</x:v>
      </x:c>
      <x:c r="H130" s="19" t="n">
        <x:v>23</x:v>
      </x:c>
      <x:c r="I130" s="19" t="n">
        <x:v>35</x:v>
      </x:c>
      <x:c r="J130" s="19" t="n">
        <x:v>12</x:v>
      </x:c>
      <x:c r="K130" s="19" t="str">
        <x:v>c(272)</x:v>
      </x:c>
      <x:c r="L130" s="12" t="str">
        <x:v>Tax year 2024</x:v>
      </x:c>
      <x:c r="M130" s="23" t="n">
        <x:v>8131918.97</x:v>
      </x:c>
      <x:c r="N130" s="22" t="n">
        <x:f>IF(ISNUMBER(M130),M130*J130,"")</x:f>
        <x:v>97583027.64</x:v>
      </x:c>
      <x:c r="O130" s="13" t="str">
        <x:v>Not determinable from extension law / TIF receipts alone</x:v>
      </x:c>
      <x:c r="P130" s="13" t="str"/>
      <x:c r="Q130" s="12" t="str"/>
      <x:c r="R130" s="24" t="e">
        <x:f>HYPERLINK("https://www.ilga.gov/ftp/Public%20Acts/103/103-1016.htm","Signed Public Act")</x:f>
        <x:v>HYPERLINK is not implemented. linkLocation=https://www.ilga.gov/ftp/Public%20Acts/103/103-1016.htm, friendlyName=Signed Public Act</x:v>
      </x:c>
      <x:c r="S130" s="24" t="e">
        <x:f>HYPERLINK("https://legiscan.com/IL/bill/SB3563/2023","Signing history")</x:f>
        <x:v>HYPERLINK is not implemented. linkLocation=https://legiscan.com/IL/bill/SB3563/2023, friendlyName=Signing history</x:v>
      </x:c>
      <x:c r="T130"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30"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30" s="24" t="e">
        <x:f>HYPERLINK("https://news.wttw.com/sites/default/files/article/file-attachments/2024-tif-report.pdf#page=39","Financial source")</x:f>
        <x:v>HYPERLINK is not implemented. linkLocation=https://news.wttw.com/sites/default/files/article/file-attachments/2024-tif-report.pdf#page=39, friendlyName=Financial source</x:v>
      </x:c>
      <x:c r="W130" s="24" t="str">
        <x:v>Cook County Clerk 2024 TIF report; 03-0210-548; Chicago - Englewood Neighborhood; PDF page 39</x:v>
      </x:c>
      <x:c r="X130" s="24" t="e">
        <x:f>HYPERLINK("https://www.ilga.gov/ftp/Public%20Acts/103/103-1016.htm","Name source")</x:f>
        <x:v>HYPERLINK is not implemented. linkLocation=https://www.ilga.gov/ftp/Public%20Acts/103/103-1016.htm, friendlyName=Name source</x:v>
      </x:c>
      <x:c r="Y130" s="1" t="n">
        <x:v>1</x:v>
      </x:c>
      <x:c r="Z130" s="1"/>
      <x:c r="AA130" s="1"/>
    </x:row>
    <x:row r="131" ht="54" customHeight="1">
      <x:c r="A131" s="12" t="n">
        <x:v>124</x:v>
      </x:c>
      <x:c r="B131" s="12" t="str">
        <x:v>SB 3563</x:v>
      </x:c>
      <x:c r="C131" s="12" t="str">
        <x:v>103-1016</x:v>
      </x:c>
      <x:c r="D131" s="17" t="d">
        <x:v>2024-08-09T00:00:00.000Z</x:v>
      </x:c>
      <x:c r="E131" s="18" t="str">
        <x:v>Chicago</x:v>
      </x:c>
      <x:c r="F131" s="13" t="str">
        <x:v>Lake Calumet Area Industrial redevelopment project area</x:v>
      </x:c>
      <x:c r="G131" s="15" t="d">
        <x:v>2000-12-13T00:00:00.000Z</x:v>
      </x:c>
      <x:c r="H131" s="19" t="n">
        <x:v>23</x:v>
      </x:c>
      <x:c r="I131" s="19" t="n">
        <x:v>35</x:v>
      </x:c>
      <x:c r="J131" s="19" t="n">
        <x:v>12</x:v>
      </x:c>
      <x:c r="K131" s="19" t="str">
        <x:v>c(273)</x:v>
      </x:c>
      <x:c r="L131" s="12" t="str">
        <x:v>Tax year 2024</x:v>
      </x:c>
      <x:c r="M131" s="23" t="n">
        <x:v>14320289.17</x:v>
      </x:c>
      <x:c r="N131" s="22" t="n">
        <x:f>IF(ISNUMBER(M131),M131*J131,"")</x:f>
        <x:v>171843470.04</x:v>
      </x:c>
      <x:c r="O131" s="13" t="str">
        <x:v>Not determinable from extension law / TIF receipts alone</x:v>
      </x:c>
      <x:c r="P131" s="13" t="str"/>
      <x:c r="Q131" s="12" t="str"/>
      <x:c r="R131" s="24" t="e">
        <x:f>HYPERLINK("https://www.ilga.gov/ftp/Public%20Acts/103/103-1016.htm","Signed Public Act")</x:f>
        <x:v>HYPERLINK is not implemented. linkLocation=https://www.ilga.gov/ftp/Public%20Acts/103/103-1016.htm, friendlyName=Signed Public Act</x:v>
      </x:c>
      <x:c r="S131" s="24" t="e">
        <x:f>HYPERLINK("https://legiscan.com/IL/bill/SB3563/2023","Signing history")</x:f>
        <x:v>HYPERLINK is not implemented. linkLocation=https://legiscan.com/IL/bill/SB3563/2023, friendlyName=Signing history</x:v>
      </x:c>
      <x:c r="T131"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31"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31" s="24" t="e">
        <x:f>HYPERLINK("https://news.wttw.com/sites/default/files/article/file-attachments/2024-tif-report.pdf#page=40","Financial source")</x:f>
        <x:v>HYPERLINK is not implemented. linkLocation=https://news.wttw.com/sites/default/files/article/file-attachments/2024-tif-report.pdf#page=40, friendlyName=Financial source</x:v>
      </x:c>
      <x:c r="W131" s="24" t="str">
        <x:v>Cook County Clerk 2024 TIF report; 03-0210-562; Chicago - Lake Calumet; PDF page 40</x:v>
      </x:c>
      <x:c r="X131" s="24" t="e">
        <x:f>HYPERLINK("https://www.ilga.gov/ftp/Public%20Acts/103/103-1016.htm","Name source")</x:f>
        <x:v>HYPERLINK is not implemented. linkLocation=https://www.ilga.gov/ftp/Public%20Acts/103/103-1016.htm, friendlyName=Name source</x:v>
      </x:c>
      <x:c r="Y131" s="1" t="n">
        <x:v>1</x:v>
      </x:c>
      <x:c r="Z131" s="1"/>
      <x:c r="AA131" s="1"/>
    </x:row>
    <x:row r="132" ht="54" customHeight="1">
      <x:c r="A132" s="12" t="n">
        <x:v>125</x:v>
      </x:c>
      <x:c r="B132" s="12" t="str">
        <x:v>SB 3563</x:v>
      </x:c>
      <x:c r="C132" s="12" t="str">
        <x:v>103-1016</x:v>
      </x:c>
      <x:c r="D132" s="17" t="d">
        <x:v>2024-08-09T00:00:00.000Z</x:v>
      </x:c>
      <x:c r="E132" s="18" t="str">
        <x:v>Des Plaines</x:v>
      </x:c>
      <x:c r="F132" s="13" t="str">
        <x:v>TIF No. 6 Mannheim Higgins Road</x:v>
      </x:c>
      <x:c r="G132" s="15" t="d">
        <x:v>2001-10-15T00:00:00.000Z</x:v>
      </x:c>
      <x:c r="H132" s="19" t="n">
        <x:v>23</x:v>
      </x:c>
      <x:c r="I132" s="19" t="n">
        <x:v>35</x:v>
      </x:c>
      <x:c r="J132" s="19" t="n">
        <x:v>12</x:v>
      </x:c>
      <x:c r="K132" s="19" t="str">
        <x:v>c(274)</x:v>
      </x:c>
      <x:c r="L132" s="12" t="str">
        <x:v>Tax year 2024</x:v>
      </x:c>
      <x:c r="M132" s="23" t="n">
        <x:v>137823.09</x:v>
      </x:c>
      <x:c r="N132" s="22" t="n">
        <x:f>IF(ISNUMBER(M132),M132*J132,"")</x:f>
        <x:v>1653877.08</x:v>
      </x:c>
      <x:c r="O132" s="13" t="str">
        <x:v>Not determinable from extension law / TIF receipts alone</x:v>
      </x:c>
      <x:c r="P132" s="13" t="str"/>
      <x:c r="Q132" s="12" t="str"/>
      <x:c r="R132" s="24" t="e">
        <x:f>HYPERLINK("https://www.ilga.gov/ftp/Public%20Acts/103/103-1016.htm","Signed Public Act")</x:f>
        <x:v>HYPERLINK is not implemented. linkLocation=https://www.ilga.gov/ftp/Public%20Acts/103/103-1016.htm, friendlyName=Signed Public Act</x:v>
      </x:c>
      <x:c r="S132" s="24" t="e">
        <x:f>HYPERLINK("https://legiscan.com/IL/bill/SB3563/2023","Signing history")</x:f>
        <x:v>HYPERLINK is not implemented. linkLocation=https://legiscan.com/IL/bill/SB3563/2023, friendlyName=Signing history</x:v>
      </x:c>
      <x:c r="T132" s="24" t="e">
        <x:f>HYPERLINK("https://files.illinoiscomptroller.gov/LocGovTIF/FY2025/01614030/25TIF01614030Tif_6,_Ma_Higgins_1.pdf","TIF annual reporting")</x:f>
        <x:v>HYPERLINK is not implemented. linkLocation=https://files.illinoiscomptroller.gov/LocGovTIF/FY2025/01614030/25TIF01614030Tif_6,_Ma_Higgins_1.pdf, friendlyName=TIF annual reporting</x:v>
      </x:c>
      <x:c r="U132" s="24" t="e">
        <x:f>HYPERLINK("https://illinoiscomptroller.gov/constituent-services/local-government/local-government-warehouse/landingpage?code=016%2F140%2F30","Municipal report index")</x:f>
        <x:v>HYPERLINK is not implemented. linkLocation=https://illinoiscomptroller.gov/constituent-services/local-government/local-government-warehouse/landingpage?code=016%2F140%2F30, friendlyName=Municipal report index</x:v>
      </x:c>
      <x:c r="V132" s="24" t="e">
        <x:f>HYPERLINK("https://news.wttw.com/sites/default/files/article/file-attachments/2024-tif-report.pdf#page=46","Financial source")</x:f>
        <x:v>HYPERLINK is not implemented. linkLocation=https://news.wttw.com/sites/default/files/article/file-attachments/2024-tif-report.pdf#page=46, friendlyName=Financial source</x:v>
      </x:c>
      <x:c r="W132" s="24" t="str">
        <x:v>Cook County Clerk 2024 TIF report; 03-0290-501; Des Plaines - Mannheim/Higgins; PDF page 46</x:v>
      </x:c>
      <x:c r="X132" s="24" t="e">
        <x:f>HYPERLINK("https://www.ilga.gov/ftp/Public%20Acts/103/103-1016.htm","Name source")</x:f>
        <x:v>HYPERLINK is not implemented. linkLocation=https://www.ilga.gov/ftp/Public%20Acts/103/103-1016.htm, friendlyName=Name source</x:v>
      </x:c>
      <x:c r="Y132" s="1" t="n">
        <x:v>1</x:v>
      </x:c>
      <x:c r="Z132" s="1"/>
      <x:c r="AA132" s="1"/>
    </x:row>
    <x:row r="133" ht="54" customHeight="1">
      <x:c r="A133" s="12" t="n">
        <x:v>126</x:v>
      </x:c>
      <x:c r="B133" s="12" t="str">
        <x:v>SB 3563</x:v>
      </x:c>
      <x:c r="C133" s="12" t="str">
        <x:v>103-1016</x:v>
      </x:c>
      <x:c r="D133" s="17" t="d">
        <x:v>2024-08-09T00:00:00.000Z</x:v>
      </x:c>
      <x:c r="E133" s="18" t="str">
        <x:v>Sullivan</x:v>
      </x:c>
      <x:c r="F133" s="13" t="str">
        <x:v>TIF District III</x:v>
      </x:c>
      <x:c r="G133" s="15" t="d">
        <x:v>2001-10-22T00:00:00.000Z</x:v>
      </x:c>
      <x:c r="H133" s="19" t="n">
        <x:v>23</x:v>
      </x:c>
      <x:c r="I133" s="19" t="n">
        <x:v>35</x:v>
      </x:c>
      <x:c r="J133" s="19" t="n">
        <x:v>12</x:v>
      </x:c>
      <x:c r="K133" s="19" t="str">
        <x:v>c(275)</x:v>
      </x:c>
      <x:c r="L133" s="12" t="str">
        <x:v>Fiscal year 2025</x:v>
      </x:c>
      <x:c r="M133" s="23" t="n">
        <x:v>208800</x:v>
      </x:c>
      <x:c r="N133" s="22" t="n">
        <x:f>IF(ISNUMBER(M133),M133*J133,"")</x:f>
        <x:v>2505600</x:v>
      </x:c>
      <x:c r="O133" s="13" t="str">
        <x:v>Not determinable from extension law / TIF receipts alone</x:v>
      </x:c>
      <x:c r="P133" s="13" t="str"/>
      <x:c r="Q133" s="12" t="str"/>
      <x:c r="R133" s="24" t="e">
        <x:f>HYPERLINK("https://www.ilga.gov/ftp/Public%20Acts/103/103-1016.htm","Signed Public Act")</x:f>
        <x:v>HYPERLINK is not implemented. linkLocation=https://www.ilga.gov/ftp/Public%20Acts/103/103-1016.htm, friendlyName=Signed Public Act</x:v>
      </x:c>
      <x:c r="S133" s="24" t="e">
        <x:f>HYPERLINK("https://legiscan.com/IL/bill/SB3563/2023","Signing history")</x:f>
        <x:v>HYPERLINK is not implemented. linkLocation=https://legiscan.com/IL/bill/SB3563/2023, friendlyName=Signing history</x:v>
      </x:c>
      <x:c r="T133" s="24" t="e">
        <x:f>HYPERLINK("https://files.illinoiscomptroller.gov/LocGovTIF/FY2025/07003530/25TIF07003530TIF_III_1.pdf","TIF annual reporting")</x:f>
        <x:v>HYPERLINK is not implemented. linkLocation=https://files.illinoiscomptroller.gov/LocGovTIF/FY2025/07003530/25TIF07003530TIF_III_1.pdf, friendlyName=TIF annual reporting</x:v>
      </x:c>
      <x:c r="U133" s="24" t="e">
        <x:f>HYPERLINK("https://illinoiscomptroller.gov/constituent-services/local-government/local-government-warehouse/landingpage?code=070%2F035%2F30","Municipal report index")</x:f>
        <x:v>HYPERLINK is not implemented. linkLocation=https://illinoiscomptroller.gov/constituent-services/local-government/local-government-warehouse/landingpage?code=070%2F035%2F30, friendlyName=Municipal report index</x:v>
      </x:c>
      <x:c r="V133" s="24" t="e">
        <x:f>HYPERLINK("https://files.illinoiscomptroller.gov/LocGovTIF/FY2025/07003530/25TIF07003530TIF_III_1.pdf#page=3","Financial source")</x:f>
        <x:v>HYPERLINK is not implemented. linkLocation=https://files.illinoiscomptroller.gov/LocGovTIF/FY2025/07003530/25TIF07003530TIF_III_1.pdf#page=3, friendlyName=Financial source</x:v>
      </x:c>
      <x:c r="W133" s="24" t="str">
        <x:v>Municipal TIF annual report, section 3.1, current-year Property Tax Increment. FY 2025</x:v>
      </x:c>
      <x:c r="X133" s="24" t="e">
        <x:f>HYPERLINK("https://www.ilga.gov/ftp/Public%20Acts/103/103-1016.htm","Name source")</x:f>
        <x:v>HYPERLINK is not implemented. linkLocation=https://www.ilga.gov/ftp/Public%20Acts/103/103-1016.htm, friendlyName=Name source</x:v>
      </x:c>
      <x:c r="Y133" s="1" t="n">
        <x:v>1</x:v>
      </x:c>
      <x:c r="Z133" s="1"/>
      <x:c r="AA133" s="1"/>
    </x:row>
    <x:row r="134" ht="54" customHeight="1">
      <x:c r="A134" s="12" t="n">
        <x:v>127</x:v>
      </x:c>
      <x:c r="B134" s="12" t="str">
        <x:v>SB 3563</x:v>
      </x:c>
      <x:c r="C134" s="12" t="str">
        <x:v>103-1016</x:v>
      </x:c>
      <x:c r="D134" s="17" t="d">
        <x:v>2024-08-09T00:00:00.000Z</x:v>
      </x:c>
      <x:c r="E134" s="18" t="str">
        <x:v>Oak Forest</x:v>
      </x:c>
      <x:c r="F134" s="13" t="str">
        <x:v>City of Oak Forest Cicero Avenue Tax Increment Financing District Redevelopment Project Area TIF District #6</x:v>
      </x:c>
      <x:c r="G134" s="15" t="d">
        <x:v>2013-11-12T00:00:00.000Z</x:v>
      </x:c>
      <x:c r="H134" s="19" t="n">
        <x:v>23</x:v>
      </x:c>
      <x:c r="I134" s="19" t="n">
        <x:v>35</x:v>
      </x:c>
      <x:c r="J134" s="19" t="n">
        <x:v>12</x:v>
      </x:c>
      <x:c r="K134" s="19" t="str">
        <x:v>c(276)</x:v>
      </x:c>
      <x:c r="L134" s="12" t="str">
        <x:v>Tax year 2024</x:v>
      </x:c>
      <x:c r="M134" s="23" t="n">
        <x:v>269853.21</x:v>
      </x:c>
      <x:c r="N134" s="22" t="n">
        <x:f>IF(ISNUMBER(M134),M134*J134,"")</x:f>
        <x:v>3238238.5200000005</x:v>
      </x:c>
      <x:c r="O134" s="13" t="str">
        <x:v>Not determinable from extension law / TIF receipts alone</x:v>
      </x:c>
      <x:c r="P134" s="13" t="str"/>
      <x:c r="Q134" s="12" t="str"/>
      <x:c r="R134" s="24" t="e">
        <x:f>HYPERLINK("https://www.ilga.gov/ftp/Public%20Acts/103/103-1016.htm","Signed Public Act")</x:f>
        <x:v>HYPERLINK is not implemented. linkLocation=https://www.ilga.gov/ftp/Public%20Acts/103/103-1016.htm, friendlyName=Signed Public Act</x:v>
      </x:c>
      <x:c r="S134" s="24" t="e">
        <x:f>HYPERLINK("https://legiscan.com/IL/bill/SB3563/2023","Signing history")</x:f>
        <x:v>HYPERLINK is not implemented. linkLocation=https://legiscan.com/IL/bill/SB3563/2023, friendlyName=Signing history</x:v>
      </x:c>
      <x:c r="T134" s="24" t="e">
        <x:f>HYPERLINK("https://files.illinoiscomptroller.gov/LocGovTIF/FY2025/01640530/25TIF01640530TIF_6_1.pdf","TIF annual reporting")</x:f>
        <x:v>HYPERLINK is not implemented. linkLocation=https://files.illinoiscomptroller.gov/LocGovTIF/FY2025/01640530/25TIF01640530TIF_6_1.pdf, friendlyName=TIF annual reporting</x:v>
      </x:c>
      <x:c r="U134" s="24" t="e">
        <x:f>HYPERLINK("https://illinoiscomptroller.gov/constituent-services/local-government/local-government-warehouse/landingpage?code=016%2F405%2F30","Municipal report index")</x:f>
        <x:v>HYPERLINK is not implemented. linkLocation=https://illinoiscomptroller.gov/constituent-services/local-government/local-government-warehouse/landingpage?code=016%2F405%2F30, friendlyName=Municipal report index</x:v>
      </x:c>
      <x:c r="V134" s="24" t="e">
        <x:f>HYPERLINK("https://news.wttw.com/sites/default/files/article/file-attachments/2024-tif-report.pdf#page=58","Financial source")</x:f>
        <x:v>HYPERLINK is not implemented. linkLocation=https://news.wttw.com/sites/default/files/article/file-attachments/2024-tif-report.pdf#page=58, friendlyName=Financial source</x:v>
      </x:c>
      <x:c r="W134" s="24" t="str">
        <x:v>Cook County Clerk 2024 TIF report; 03-0900-505; Oak Forest - Cicero Ave; PDF page 58</x:v>
      </x:c>
      <x:c r="X134" s="24" t="e">
        <x:f>HYPERLINK("https://www.ilga.gov/ftp/Public%20Acts/103/103-1016.htm","Name source")</x:f>
        <x:v>HYPERLINK is not implemented. linkLocation=https://www.ilga.gov/ftp/Public%20Acts/103/103-1016.htm, friendlyName=Name source</x:v>
      </x:c>
      <x:c r="Y134" s="1" t="n">
        <x:v>1</x:v>
      </x:c>
      <x:c r="Z134" s="1"/>
      <x:c r="AA134" s="1"/>
    </x:row>
    <x:row r="135" ht="54" customHeight="1">
      <x:c r="A135" s="12" t="n">
        <x:v>128</x:v>
      </x:c>
      <x:c r="B135" s="12" t="str">
        <x:v>SB 3563</x:v>
      </x:c>
      <x:c r="C135" s="12" t="str">
        <x:v>103-1016</x:v>
      </x:c>
      <x:c r="D135" s="17" t="d">
        <x:v>2024-08-09T00:00:00.000Z</x:v>
      </x:c>
      <x:c r="E135" s="18" t="str">
        <x:v>Ottawa</x:v>
      </x:c>
      <x:c r="F135" s="13" t="str">
        <x:v>Ottawa I-80 North TIF District</x:v>
      </x:c>
      <x:c r="G135" s="15" t="d">
        <x:v>1993-12-29T00:00:00.000Z</x:v>
      </x:c>
      <x:c r="H135" s="19" t="n">
        <x:v>35</x:v>
      </x:c>
      <x:c r="I135" s="19" t="n">
        <x:v>47</x:v>
      </x:c>
      <x:c r="J135" s="19" t="n">
        <x:v>12</x:v>
      </x:c>
      <x:c r="K135" s="19" t="str">
        <x:v>f-5(22)</x:v>
      </x:c>
      <x:c r="L135" s="12" t="str">
        <x:v>Fiscal year 2025</x:v>
      </x:c>
      <x:c r="M135" s="23" t="n">
        <x:v>2907523</x:v>
      </x:c>
      <x:c r="N135" s="22" t="n">
        <x:f>IF(ISNUMBER(M135),M135*J135,"")</x:f>
        <x:v>34890276</x:v>
      </x:c>
      <x:c r="O135" s="13" t="str">
        <x:v>Not determinable from extension law / TIF receipts alone</x:v>
      </x:c>
      <x:c r="P135" s="13" t="str"/>
      <x:c r="Q135" s="12" t="str"/>
      <x:c r="R135" s="24" t="e">
        <x:f>HYPERLINK("https://www.ilga.gov/ftp/Public%20Acts/103/103-1016.htm","Signed Public Act")</x:f>
        <x:v>HYPERLINK is not implemented. linkLocation=https://www.ilga.gov/ftp/Public%20Acts/103/103-1016.htm, friendlyName=Signed Public Act</x:v>
      </x:c>
      <x:c r="S135" s="24" t="e">
        <x:f>HYPERLINK("https://legiscan.com/IL/bill/SB3563/2023","Signing history")</x:f>
        <x:v>HYPERLINK is not implemented. linkLocation=https://legiscan.com/IL/bill/SB3563/2023, friendlyName=Signing history</x:v>
      </x:c>
      <x:c r="T135" s="24" t="e">
        <x:f>HYPERLINK("https://files.illinoiscomptroller.gov/LocGovTIF/FY2025/05008030/25TIF05008030TIF_I-80_North_1.pdf","TIF annual reporting")</x:f>
        <x:v>HYPERLINK is not implemented. linkLocation=https://files.illinoiscomptroller.gov/LocGovTIF/FY2025/05008030/25TIF05008030TIF_I-80_North_1.pdf, friendlyName=TIF annual reporting</x:v>
      </x:c>
      <x:c r="U135" s="24" t="e">
        <x:f>HYPERLINK("https://illinoiscomptroller.gov/constituent-services/local-government/local-government-warehouse/landingpage?code=050%2F080%2F30","Municipal report index")</x:f>
        <x:v>HYPERLINK is not implemented. linkLocation=https://illinoiscomptroller.gov/constituent-services/local-government/local-government-warehouse/landingpage?code=050%2F080%2F30, friendlyName=Municipal report index</x:v>
      </x:c>
      <x:c r="V135" s="24" t="e">
        <x:f>HYPERLINK("https://files.illinoiscomptroller.gov/LocGovTIF/FY2025/05008030/25TIF05008030TIF_I-80_North_1.pdf#page=3","Financial source")</x:f>
        <x:v>HYPERLINK is not implemented. linkLocation=https://files.illinoiscomptroller.gov/LocGovTIF/FY2025/05008030/25TIF05008030TIF_I-80_North_1.pdf#page=3, friendlyName=Financial source</x:v>
      </x:c>
      <x:c r="W135" s="24" t="str">
        <x:v>Municipal TIF annual report, section 3.1, current-year Property Tax Increment. FY 2025</x:v>
      </x:c>
      <x:c r="X135" s="24" t="e">
        <x:f>HYPERLINK("https://www.ilga.gov/ftp/Public%20Acts/103/103-1016.htm","Name source")</x:f>
        <x:v>HYPERLINK is not implemented. linkLocation=https://www.ilga.gov/ftp/Public%20Acts/103/103-1016.htm, friendlyName=Name source</x:v>
      </x:c>
      <x:c r="Y135" s="1" t="n">
        <x:v>1</x:v>
      </x:c>
      <x:c r="Z135" s="1"/>
      <x:c r="AA135" s="1"/>
    </x:row>
    <x:row r="136" ht="54" customHeight="1">
      <x:c r="A136" s="12" t="n">
        <x:v>129</x:v>
      </x:c>
      <x:c r="B136" s="12" t="str">
        <x:v>SB 3563</x:v>
      </x:c>
      <x:c r="C136" s="12" t="str">
        <x:v>103-1016</x:v>
      </x:c>
      <x:c r="D136" s="17" t="d">
        <x:v>2024-08-09T00:00:00.000Z</x:v>
      </x:c>
      <x:c r="E136" s="18" t="str">
        <x:v>Ottawa</x:v>
      </x:c>
      <x:c r="F136" s="13" t="str">
        <x:v>Ottawa Rt. 6 East TIF District</x:v>
      </x:c>
      <x:c r="G136" s="15" t="d">
        <x:v>1994-09-20T00:00:00.000Z</x:v>
      </x:c>
      <x:c r="H136" s="19" t="n">
        <x:v>35</x:v>
      </x:c>
      <x:c r="I136" s="19" t="n">
        <x:v>47</x:v>
      </x:c>
      <x:c r="J136" s="19" t="n">
        <x:v>12</x:v>
      </x:c>
      <x:c r="K136" s="19" t="str">
        <x:v>f-5(23)</x:v>
      </x:c>
      <x:c r="L136" s="12" t="str">
        <x:v>Fiscal year 2025</x:v>
      </x:c>
      <x:c r="M136" s="23" t="n">
        <x:v>519003</x:v>
      </x:c>
      <x:c r="N136" s="22" t="n">
        <x:f>IF(ISNUMBER(M136),M136*J136,"")</x:f>
        <x:v>6228036</x:v>
      </x:c>
      <x:c r="O136" s="13" t="str">
        <x:v>Not determinable from extension law / TIF receipts alone</x:v>
      </x:c>
      <x:c r="P136" s="13" t="str"/>
      <x:c r="Q136" s="12" t="str"/>
      <x:c r="R136" s="24" t="e">
        <x:f>HYPERLINK("https://www.ilga.gov/ftp/Public%20Acts/103/103-1016.htm","Signed Public Act")</x:f>
        <x:v>HYPERLINK is not implemented. linkLocation=https://www.ilga.gov/ftp/Public%20Acts/103/103-1016.htm, friendlyName=Signed Public Act</x:v>
      </x:c>
      <x:c r="S136" s="24" t="e">
        <x:f>HYPERLINK("https://legiscan.com/IL/bill/SB3563/2023","Signing history")</x:f>
        <x:v>HYPERLINK is not implemented. linkLocation=https://legiscan.com/IL/bill/SB3563/2023, friendlyName=Signing history</x:v>
      </x:c>
      <x:c r="T136" s="24" t="e">
        <x:f>HYPERLINK("https://files.illinoiscomptroller.gov/LocGovTIF/FY2025/05008030/25TIF05008030US_Route_6_East_1.pdf","TIF annual reporting")</x:f>
        <x:v>HYPERLINK is not implemented. linkLocation=https://files.illinoiscomptroller.gov/LocGovTIF/FY2025/05008030/25TIF05008030US_Route_6_East_1.pdf, friendlyName=TIF annual reporting</x:v>
      </x:c>
      <x:c r="U136" s="24" t="e">
        <x:f>HYPERLINK("https://illinoiscomptroller.gov/constituent-services/local-government/local-government-warehouse/landingpage?code=050%2F080%2F30","Municipal report index")</x:f>
        <x:v>HYPERLINK is not implemented. linkLocation=https://illinoiscomptroller.gov/constituent-services/local-government/local-government-warehouse/landingpage?code=050%2F080%2F30, friendlyName=Municipal report index</x:v>
      </x:c>
      <x:c r="V136" s="24" t="e">
        <x:f>HYPERLINK("https://files.illinoiscomptroller.gov/LocGovTIF/FY2025/05008030/25TIF05008030US_Route_6_East_1.pdf#page=3","Financial source")</x:f>
        <x:v>HYPERLINK is not implemented. linkLocation=https://files.illinoiscomptroller.gov/LocGovTIF/FY2025/05008030/25TIF05008030US_Route_6_East_1.pdf#page=3, friendlyName=Financial source</x:v>
      </x:c>
      <x:c r="W136" s="24" t="str">
        <x:v>Municipal TIF annual report, section 3.1, current-year Property Tax Increment. FY 2025</x:v>
      </x:c>
      <x:c r="X136" s="24" t="e">
        <x:f>HYPERLINK("https://www.ilga.gov/ftp/Public%20Acts/103/103-1016.htm","Name source")</x:f>
        <x:v>HYPERLINK is not implemented. linkLocation=https://www.ilga.gov/ftp/Public%20Acts/103/103-1016.htm, friendlyName=Name source</x:v>
      </x:c>
      <x:c r="Y136" s="1" t="n">
        <x:v>1</x:v>
      </x:c>
      <x:c r="Z136" s="1"/>
      <x:c r="AA136" s="1"/>
    </x:row>
    <x:row r="137" ht="54" customHeight="1">
      <x:c r="A137" s="12" t="n">
        <x:v>130</x:v>
      </x:c>
      <x:c r="B137" s="12" t="str">
        <x:v>SB 3563</x:v>
      </x:c>
      <x:c r="C137" s="12" t="str">
        <x:v>103-1016</x:v>
      </x:c>
      <x:c r="D137" s="17" t="d">
        <x:v>2024-08-09T00:00:00.000Z</x:v>
      </x:c>
      <x:c r="E137" s="18" t="str">
        <x:v>Rosemont</x:v>
      </x:c>
      <x:c r="F137" s="13" t="str">
        <x:v>Village of Rosemont TIF 4 South River Road</x:v>
      </x:c>
      <x:c r="G137" s="15" t="d">
        <x:v>1999-01-06T00:00:00.000Z</x:v>
      </x:c>
      <x:c r="H137" s="19" t="n">
        <x:v>35</x:v>
      </x:c>
      <x:c r="I137" s="19" t="n">
        <x:v>47</x:v>
      </x:c>
      <x:c r="J137" s="19" t="n">
        <x:v>12</x:v>
      </x:c>
      <x:c r="K137" s="19" t="str">
        <x:v>f-5(24)</x:v>
      </x:c>
      <x:c r="L137" s="12" t="str">
        <x:v>Tax year 2024</x:v>
      </x:c>
      <x:c r="M137" s="23" t="n">
        <x:v>18021738.7</x:v>
      </x:c>
      <x:c r="N137" s="22" t="n">
        <x:f>IF(ISNUMBER(M137),M137*J137,"")</x:f>
        <x:v>216260864.39999998</x:v>
      </x:c>
      <x:c r="O137" s="13" t="str">
        <x:v>Not determinable from extension law / TIF receipts alone</x:v>
      </x:c>
      <x:c r="P137" s="13" t="str"/>
      <x:c r="Q137" s="12" t="str"/>
      <x:c r="R137" s="24" t="e">
        <x:f>HYPERLINK("https://www.ilga.gov/ftp/Public%20Acts/103/103-1016.htm","Signed Public Act")</x:f>
        <x:v>HYPERLINK is not implemented. linkLocation=https://www.ilga.gov/ftp/Public%20Acts/103/103-1016.htm, friendlyName=Signed Public Act</x:v>
      </x:c>
      <x:c r="S137" s="24" t="e">
        <x:f>HYPERLINK("https://legiscan.com/IL/bill/SB3563/2023","Signing history")</x:f>
        <x:v>HYPERLINK is not implemented. linkLocation=https://legiscan.com/IL/bill/SB3563/2023, friendlyName=Signing history</x:v>
      </x:c>
      <x:c r="T137" s="24" t="e">
        <x:f>HYPERLINK("https://files.illinoiscomptroller.gov/LocGovTIF/FY2025/01650532/25TIF01650532TIF_4_Souver_Road_1.pdf","TIF annual reporting")</x:f>
        <x:v>HYPERLINK is not implemented. linkLocation=https://files.illinoiscomptroller.gov/LocGovTIF/FY2025/01650532/25TIF01650532TIF_4_Souver_Road_1.pdf, friendlyName=TIF annual reporting</x:v>
      </x:c>
      <x:c r="U137" s="24" t="e">
        <x:f>HYPERLINK("https://illinoiscomptroller.gov/constituent-services/local-government/local-government-warehouse/landingpage?code=016%2F505%2F32","Municipal report index")</x:f>
        <x:v>HYPERLINK is not implemented. linkLocation=https://illinoiscomptroller.gov/constituent-services/local-government/local-government-warehouse/landingpage?code=016%2F505%2F32, friendlyName=Municipal report index</x:v>
      </x:c>
      <x:c r="V137" s="24" t="e">
        <x:f>HYPERLINK("https://news.wttw.com/sites/default/files/article/file-attachments/2024-tif-report.pdf#page=61","Financial source")</x:f>
        <x:v>HYPERLINK is not implemented. linkLocation=https://news.wttw.com/sites/default/files/article/file-attachments/2024-tif-report.pdf#page=61, friendlyName=Financial source</x:v>
      </x:c>
      <x:c r="W137" s="24" t="str">
        <x:v>Cook County Clerk 2024 TIF report; 03-1130-503; Rosemont - South River Road (4); PDF page 61</x:v>
      </x:c>
      <x:c r="X137" s="24" t="e">
        <x:f>HYPERLINK("https://www.ilga.gov/ftp/Public%20Acts/103/103-1016.htm","Name source")</x:f>
        <x:v>HYPERLINK is not implemented. linkLocation=https://www.ilga.gov/ftp/Public%20Acts/103/103-1016.htm, friendlyName=Name source</x:v>
      </x:c>
      <x:c r="Y137" s="1" t="n">
        <x:v>1</x:v>
      </x:c>
      <x:c r="Z137" s="1"/>
      <x:c r="AA137" s="1"/>
    </x:row>
    <x:row r="138" ht="54" customHeight="1">
      <x:c r="A138" s="12" t="n">
        <x:v>131</x:v>
      </x:c>
      <x:c r="B138" s="12" t="str">
        <x:v>SB 3563</x:v>
      </x:c>
      <x:c r="C138" s="12" t="str">
        <x:v>103-1016</x:v>
      </x:c>
      <x:c r="D138" s="17" t="d">
        <x:v>2024-08-09T00:00:00.000Z</x:v>
      </x:c>
      <x:c r="E138" s="18" t="str">
        <x:v>Tremont</x:v>
      </x:c>
      <x:c r="F138" s="13" t="str">
        <x:v>Eastside Redevelopment</x:v>
      </x:c>
      <x:c r="G138" s="15" t="d">
        <x:v>2004-04-19T00:00:00.000Z</x:v>
      </x:c>
      <x:c r="H138" s="19" t="n">
        <x:v>23</x:v>
      </x:c>
      <x:c r="I138" s="19" t="n">
        <x:v>32</x:v>
      </x:c>
      <x:c r="J138" s="19" t="n">
        <x:v>9</x:v>
      </x:c>
      <x:c r="K138" s="19" t="str">
        <x:v>b-5</x:v>
      </x:c>
      <x:c r="L138" s="12" t="str">
        <x:v>Fiscal year 2025</x:v>
      </x:c>
      <x:c r="M138" s="23" t="n">
        <x:v>162562</x:v>
      </x:c>
      <x:c r="N138" s="22" t="n">
        <x:f>IF(ISNUMBER(M138),M138*J138,"")</x:f>
        <x:v>1463058</x:v>
      </x:c>
      <x:c r="O138" s="13" t="str">
        <x:v>Not determinable from extension law / TIF receipts alone</x:v>
      </x:c>
      <x:c r="P138" s="13" t="str"/>
      <x:c r="Q138" s="12" t="str"/>
      <x:c r="R138" s="24" t="e">
        <x:f>HYPERLINK("https://www.ilga.gov/ftp/Public%20Acts/103/103-1016.htm","Signed Public Act")</x:f>
        <x:v>HYPERLINK is not implemented. linkLocation=https://www.ilga.gov/ftp/Public%20Acts/103/103-1016.htm, friendlyName=Signed Public Act</x:v>
      </x:c>
      <x:c r="S138" s="24" t="e">
        <x:f>HYPERLINK("https://legiscan.com/IL/bill/SB3563/2023","Signing history")</x:f>
        <x:v>HYPERLINK is not implemented. linkLocation=https://legiscan.com/IL/bill/SB3563/2023, friendlyName=Signing history</x:v>
      </x:c>
      <x:c r="T138" s="24" t="e">
        <x:f>HYPERLINK("https://files.illinoiscomptroller.gov/LocGovTIF/FY2025/09008032/25TIF09008032Eastside_elopment_1.pdf","TIF annual reporting")</x:f>
        <x:v>HYPERLINK is not implemented. linkLocation=https://files.illinoiscomptroller.gov/LocGovTIF/FY2025/09008032/25TIF09008032Eastside_elopment_1.pdf, friendlyName=TIF annual reporting</x:v>
      </x:c>
      <x:c r="U138" s="24" t="e">
        <x:f>HYPERLINK("https://illinoiscomptroller.gov/constituent-services/local-government/local-government-warehouse/landingpage?code=090%2F080%2F32","Municipal report index")</x:f>
        <x:v>HYPERLINK is not implemented. linkLocation=https://illinoiscomptroller.gov/constituent-services/local-government/local-government-warehouse/landingpage?code=090%2F080%2F32, friendlyName=Municipal report index</x:v>
      </x:c>
      <x:c r="V138" s="24" t="e">
        <x:f>HYPERLINK("https://files.illinoiscomptroller.gov/LocGovTIF/FY2025/09008032/25TIF09008032Eastside_elopment_1.pdf#page=3","Financial source")</x:f>
        <x:v>HYPERLINK is not implemented. linkLocation=https://files.illinoiscomptroller.gov/LocGovTIF/FY2025/09008032/25TIF09008032Eastside_elopment_1.pdf#page=3, friendlyName=Financial source</x:v>
      </x:c>
      <x:c r="W138" s="24" t="str">
        <x:v>Municipal TIF annual report, section 3.1, current-year Property Tax Increment. FY 2025</x:v>
      </x:c>
      <x:c r="X138" s="24" t="e">
        <x:f>HYPERLINK("https://files.illinoiscomptroller.gov/LocGovTIF/FY2025/09008032/25TIF09008032Eastside_elopment_1.pdf","Name source")</x:f>
        <x:v>HYPERLINK is not implemented. linkLocation=https://files.illinoiscomptroller.gov/LocGovTIF/FY2025/09008032/25TIF09008032Eastside_elopment_1.pdf, friendlyName=Name source</x:v>
      </x:c>
      <x:c r="Y138" s="1" t="n">
        <x:v>1</x:v>
      </x:c>
      <x:c r="Z138" s="1"/>
      <x:c r="AA138" s="1"/>
    </x:row>
    <x:row r="139" ht="54" customHeight="1">
      <x:c r="A139" s="12" t="n">
        <x:v>132</x:v>
      </x:c>
      <x:c r="B139" s="12" t="str">
        <x:v>SB 2703</x:v>
      </x:c>
      <x:c r="C139" s="12" t="str">
        <x:v>103-1058</x:v>
      </x:c>
      <x:c r="D139" s="17" t="d">
        <x:v>2024-12-20T00:00:00.000Z</x:v>
      </x:c>
      <x:c r="E139" s="18" t="str">
        <x:v>Knoxville</x:v>
      </x:c>
      <x:c r="F139" s="13" t="str">
        <x:v>TIF 1</x:v>
      </x:c>
      <x:c r="G139" s="15" t="d">
        <x:v>2003-12-15T00:00:00.000Z</x:v>
      </x:c>
      <x:c r="H139" s="19" t="n">
        <x:v>23</x:v>
      </x:c>
      <x:c r="I139" s="19" t="n">
        <x:v>35</x:v>
      </x:c>
      <x:c r="J139" s="19" t="n">
        <x:v>12</x:v>
      </x:c>
      <x:c r="K139" s="19" t="str">
        <x:v>c(277)</x:v>
      </x:c>
      <x:c r="L139" s="12" t="str">
        <x:v>Fiscal year 2025</x:v>
      </x:c>
      <x:c r="M139" s="23" t="n">
        <x:v>415086</x:v>
      </x:c>
      <x:c r="N139" s="22" t="n">
        <x:f>IF(ISNUMBER(M139),M139*J139,"")</x:f>
        <x:v>4981032</x:v>
      </x:c>
      <x:c r="O139" s="13" t="str">
        <x:v>Not determinable from extension law / TIF receipts alone</x:v>
      </x:c>
      <x:c r="P139" s="25" t="str">
        <x:v>Act date Dec. 15, 2003; report OCR reads Dec. 18, 2003. Financial match is provisional because of the date discrepancy.</x:v>
      </x:c>
      <x:c r="Q139" s="12" t="str"/>
      <x:c r="R139" s="24" t="e">
        <x:f>HYPERLINK("https://www.ilga.gov/ftp/Public%20Acts/103/103-1058.htm","Signed Public Act")</x:f>
        <x:v>HYPERLINK is not implemented. linkLocation=https://www.ilga.gov/ftp/Public%20Acts/103/103-1058.htm, friendlyName=Signed Public Act</x:v>
      </x:c>
      <x:c r="S139" s="24" t="e">
        <x:f>HYPERLINK("https://legiscan.com/IL/bill/SB2703/2023","Signing history")</x:f>
        <x:v>HYPERLINK is not implemented. linkLocation=https://legiscan.com/IL/bill/SB2703/2023, friendlyName=Signing history</x:v>
      </x:c>
      <x:c r="T139" s="24" t="e">
        <x:f>HYPERLINK("https://files.illinoiscomptroller.gov/LocGovTIF/FY2025/04803530/25TIF04803530TIF_1_1.pdf","TIF annual reporting")</x:f>
        <x:v>HYPERLINK is not implemented. linkLocation=https://files.illinoiscomptroller.gov/LocGovTIF/FY2025/04803530/25TIF04803530TIF_1_1.pdf, friendlyName=TIF annual reporting</x:v>
      </x:c>
      <x:c r="U139" s="24" t="e">
        <x:f>HYPERLINK("https://illinoiscomptroller.gov/constituent-services/local-government/local-government-warehouse/landingpage?code=048%2F035%2F30","Municipal report index")</x:f>
        <x:v>HYPERLINK is not implemented. linkLocation=https://illinoiscomptroller.gov/constituent-services/local-government/local-government-warehouse/landingpage?code=048%2F035%2F30, friendlyName=Municipal report index</x:v>
      </x:c>
      <x:c r="V139" s="24" t="e">
        <x:f>HYPERLINK("https://files.illinoiscomptroller.gov/LocGovTIF/FY2025/04803530/25TIF04803530TIF_1_1.pdf#page=3","Financial source")</x:f>
        <x:v>HYPERLINK is not implemented. linkLocation=https://files.illinoiscomptroller.gov/LocGovTIF/FY2025/04803530/25TIF04803530TIF_1_1.pdf#page=3, friendlyName=Financial source</x:v>
      </x:c>
      <x:c r="W139" s="24" t="str">
        <x:v>Municipal TIF annual report, section 3.1, current-year Property Tax Increment. FY 2025</x:v>
      </x:c>
      <x:c r="X139" s="24" t="e">
        <x:f>HYPERLINK("https://files.illinoiscomptroller.gov/LocGovTIF/FY2025/04803530/25TIF04803530TIF_1_1.pdf","Name source")</x:f>
        <x:v>HYPERLINK is not implemented. linkLocation=https://files.illinoiscomptroller.gov/LocGovTIF/FY2025/04803530/25TIF04803530TIF_1_1.pdf, friendlyName=Name source</x:v>
      </x:c>
      <x:c r="Y139" s="1" t="n">
        <x:v>1</x:v>
      </x:c>
      <x:c r="Z139" s="1"/>
      <x:c r="AA139" s="1"/>
    </x:row>
    <x:row r="140" ht="54" customHeight="1">
      <x:c r="A140" s="12" t="n">
        <x:v>133</x:v>
      </x:c>
      <x:c r="B140" s="12" t="str">
        <x:v>SB 2703</x:v>
      </x:c>
      <x:c r="C140" s="12" t="str">
        <x:v>103-1058</x:v>
      </x:c>
      <x:c r="D140" s="17" t="d">
        <x:v>2024-12-20T00:00:00.000Z</x:v>
      </x:c>
      <x:c r="E140" s="18" t="str">
        <x:v>Chicago</x:v>
      </x:c>
      <x:c r="F140" s="13" t="str">
        <x:v>Peterson/Pulaski redevelopment project area</x:v>
      </x:c>
      <x:c r="G140" s="15" t="d">
        <x:v>2000-02-16T00:00:00.000Z</x:v>
      </x:c>
      <x:c r="H140" s="19" t="n">
        <x:v>23</x:v>
      </x:c>
      <x:c r="I140" s="19" t="n">
        <x:v>35</x:v>
      </x:c>
      <x:c r="J140" s="19" t="n">
        <x:v>12</x:v>
      </x:c>
      <x:c r="K140" s="19" t="str">
        <x:v>c(278)</x:v>
      </x:c>
      <x:c r="L140" s="12" t="str">
        <x:v>Fiscal year 2024</x:v>
      </x:c>
      <x:c r="M140" s="23" t="n">
        <x:v>1904417</x:v>
      </x:c>
      <x:c r="N140" s="22" t="n">
        <x:f>IF(ISNUMBER(M140),M140*J140,"")</x:f>
        <x:v>22853004</x:v>
      </x:c>
      <x:c r="O140" s="13" t="str">
        <x:v>Not determinable from extension law / TIF receipts alone</x:v>
      </x:c>
      <x:c r="P140" s="25" t="str">
        <x:v>Cook Clerk lists cancellation and zero tax-year 2024 revenue. FY2024 city receipts used only as historical scale; extension implementation/status needs confirmation.</x:v>
      </x:c>
      <x:c r="Q140" s="12" t="str"/>
      <x:c r="R140" s="24" t="e">
        <x:f>HYPERLINK("https://www.ilga.gov/ftp/Public%20Acts/103/103-1058.htm","Signed Public Act")</x:f>
        <x:v>HYPERLINK is not implemented. linkLocation=https://www.ilga.gov/ftp/Public%20Acts/103/103-1058.htm, friendlyName=Signed Public Act</x:v>
      </x:c>
      <x:c r="S140" s="24" t="e">
        <x:f>HYPERLINK("https://legiscan.com/IL/bill/SB2703/2023","Signing history")</x:f>
        <x:v>HYPERLINK is not implemented. linkLocation=https://legiscan.com/IL/bill/SB2703/2023, friendlyName=Signing history</x:v>
      </x:c>
      <x:c r="T140"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40"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40" s="24" t="e">
        <x:f>HYPERLINK("https://data.cityofchicago.org/d/qm7s-3ctt","Financial source")</x:f>
        <x:v>HYPERLINK is not implemented. linkLocation=https://data.cityofchicago.org/d/qm7s-3ctt, friendlyName=Financial source</x:v>
      </x:c>
      <x:c r="W140" s="24" t="str">
        <x:v>City of Chicago TIF annual-report dataset; Peterson/Pulaski; report_year 2024; property_tax_increment_current</x:v>
      </x:c>
      <x:c r="X140" s="24" t="e">
        <x:f>HYPERLINK("https://www.ilga.gov/ftp/Public%20Acts/103/103-1058.htm","Name source")</x:f>
        <x:v>HYPERLINK is not implemented. linkLocation=https://www.ilga.gov/ftp/Public%20Acts/103/103-1058.htm, friendlyName=Name source</x:v>
      </x:c>
      <x:c r="Y140" s="1" t="n">
        <x:v>1</x:v>
      </x:c>
      <x:c r="Z140" s="1"/>
      <x:c r="AA140" s="1"/>
    </x:row>
    <x:row r="141" ht="54" customHeight="1">
      <x:c r="A141" s="12" t="n">
        <x:v>134</x:v>
      </x:c>
      <x:c r="B141" s="12" t="str">
        <x:v>SB 2703</x:v>
      </x:c>
      <x:c r="C141" s="12" t="str">
        <x:v>103-1058</x:v>
      </x:c>
      <x:c r="D141" s="17" t="d">
        <x:v>2024-12-20T00:00:00.000Z</x:v>
      </x:c>
      <x:c r="E141" s="18" t="str">
        <x:v>Chicago</x:v>
      </x:c>
      <x:c r="F141" s="13" t="str">
        <x:v>Central West redevelopment project area</x:v>
      </x:c>
      <x:c r="G141" s="15" t="d">
        <x:v>2000-02-16T00:00:00.000Z</x:v>
      </x:c>
      <x:c r="H141" s="19" t="n">
        <x:v>23</x:v>
      </x:c>
      <x:c r="I141" s="19" t="n">
        <x:v>35</x:v>
      </x:c>
      <x:c r="J141" s="19" t="n">
        <x:v>12</x:v>
      </x:c>
      <x:c r="K141" s="19" t="str">
        <x:v>c(279)</x:v>
      </x:c>
      <x:c r="L141" s="12" t="str">
        <x:v>Tax year 2024</x:v>
      </x:c>
      <x:c r="M141" s="23" t="n">
        <x:v>53986905.41</x:v>
      </x:c>
      <x:c r="N141" s="22" t="n">
        <x:f>IF(ISNUMBER(M141),M141*J141,"")</x:f>
        <x:v>647842864.92</x:v>
      </x:c>
      <x:c r="O141" s="13" t="str">
        <x:v>Not determinable from extension law / TIF receipts alone</x:v>
      </x:c>
      <x:c r="P141" s="13" t="str"/>
      <x:c r="Q141" s="12" t="str"/>
      <x:c r="R141" s="24" t="e">
        <x:f>HYPERLINK("https://www.ilga.gov/ftp/Public%20Acts/103/103-1058.htm","Signed Public Act")</x:f>
        <x:v>HYPERLINK is not implemented. linkLocation=https://www.ilga.gov/ftp/Public%20Acts/103/103-1058.htm, friendlyName=Signed Public Act</x:v>
      </x:c>
      <x:c r="S141" s="24" t="e">
        <x:f>HYPERLINK("https://legiscan.com/IL/bill/SB2703/2023","Signing history")</x:f>
        <x:v>HYPERLINK is not implemented. linkLocation=https://legiscan.com/IL/bill/SB2703/2023, friendlyName=Signing history</x:v>
      </x:c>
      <x:c r="T141"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41"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41" s="24" t="e">
        <x:f>HYPERLINK("https://news.wttw.com/sites/default/files/article/file-attachments/2024-tif-report.pdf#page=39","Financial source")</x:f>
        <x:v>HYPERLINK is not implemented. linkLocation=https://news.wttw.com/sites/default/files/article/file-attachments/2024-tif-report.pdf#page=39, friendlyName=Financial source</x:v>
      </x:c>
      <x:c r="W141" s="24" t="str">
        <x:v>Cook County Clerk 2024 TIF report; 03-0210-534; Chicago - Central West; PDF page 39</x:v>
      </x:c>
      <x:c r="X141" s="24" t="e">
        <x:f>HYPERLINK("https://www.ilga.gov/ftp/Public%20Acts/103/103-1058.htm","Name source")</x:f>
        <x:v>HYPERLINK is not implemented. linkLocation=https://www.ilga.gov/ftp/Public%20Acts/103/103-1058.htm, friendlyName=Name source</x:v>
      </x:c>
      <x:c r="Y141" s="1" t="n">
        <x:v>1</x:v>
      </x:c>
      <x:c r="Z141" s="1"/>
      <x:c r="AA141" s="1"/>
    </x:row>
    <x:row r="142" ht="54" customHeight="1">
      <x:c r="A142" s="12" t="n">
        <x:v>135</x:v>
      </x:c>
      <x:c r="B142" s="12" t="str">
        <x:v>SB 2703</x:v>
      </x:c>
      <x:c r="C142" s="12" t="str">
        <x:v>103-1058</x:v>
      </x:c>
      <x:c r="D142" s="17" t="d">
        <x:v>2024-12-20T00:00:00.000Z</x:v>
      </x:c>
      <x:c r="E142" s="18" t="str">
        <x:v>Chicago</x:v>
      </x:c>
      <x:c r="F142" s="13" t="str">
        <x:v>Lawrence/Broadway redevelopment project area</x:v>
      </x:c>
      <x:c r="G142" s="15" t="d">
        <x:v>2001-06-27T00:00:00.000Z</x:v>
      </x:c>
      <x:c r="H142" s="19" t="n">
        <x:v>23</x:v>
      </x:c>
      <x:c r="I142" s="19" t="n">
        <x:v>35</x:v>
      </x:c>
      <x:c r="J142" s="19" t="n">
        <x:v>12</x:v>
      </x:c>
      <x:c r="K142" s="19" t="str">
        <x:v>c(280)</x:v>
      </x:c>
      <x:c r="L142" s="12" t="str">
        <x:v>Tax year 2024</x:v>
      </x:c>
      <x:c r="M142" s="23" t="n">
        <x:v>8733102.36</x:v>
      </x:c>
      <x:c r="N142" s="22" t="n">
        <x:f>IF(ISNUMBER(M142),M142*J142,"")</x:f>
        <x:v>104797228.32</x:v>
      </x:c>
      <x:c r="O142" s="13" t="str">
        <x:v>Not determinable from extension law / TIF receipts alone</x:v>
      </x:c>
      <x:c r="P142" s="13" t="str"/>
      <x:c r="Q142" s="12" t="str"/>
      <x:c r="R142" s="24" t="e">
        <x:f>HYPERLINK("https://www.ilga.gov/ftp/Public%20Acts/103/103-1058.htm","Signed Public Act")</x:f>
        <x:v>HYPERLINK is not implemented. linkLocation=https://www.ilga.gov/ftp/Public%20Acts/103/103-1058.htm, friendlyName=Signed Public Act</x:v>
      </x:c>
      <x:c r="S142" s="24" t="e">
        <x:f>HYPERLINK("https://legiscan.com/IL/bill/SB2703/2023","Signing history")</x:f>
        <x:v>HYPERLINK is not implemented. linkLocation=https://legiscan.com/IL/bill/SB2703/2023, friendlyName=Signing history</x:v>
      </x:c>
      <x:c r="T142"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42"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42" s="24" t="e">
        <x:f>HYPERLINK("https://news.wttw.com/sites/default/files/article/file-attachments/2024-tif-report.pdf#page=40","Financial source")</x:f>
        <x:v>HYPERLINK is not implemented. linkLocation=https://news.wttw.com/sites/default/files/article/file-attachments/2024-tif-report.pdf#page=40, friendlyName=Financial source</x:v>
      </x:c>
      <x:c r="W142" s="24" t="str">
        <x:v>Cook County Clerk 2024 TIF report; 03-0210-563; Chicago - Lawrence / Broadway; PDF page 40</x:v>
      </x:c>
      <x:c r="X142" s="24" t="e">
        <x:f>HYPERLINK("https://www.ilga.gov/ftp/Public%20Acts/103/103-1058.htm","Name source")</x:f>
        <x:v>HYPERLINK is not implemented. linkLocation=https://www.ilga.gov/ftp/Public%20Acts/103/103-1058.htm, friendlyName=Name source</x:v>
      </x:c>
      <x:c r="Y142" s="1" t="n">
        <x:v>1</x:v>
      </x:c>
      <x:c r="Z142" s="1"/>
      <x:c r="AA142" s="1"/>
    </x:row>
    <x:row r="143" ht="54" customHeight="1">
      <x:c r="A143" s="12" t="n">
        <x:v>136</x:v>
      </x:c>
      <x:c r="B143" s="12" t="str">
        <x:v>SB 2703</x:v>
      </x:c>
      <x:c r="C143" s="12" t="str">
        <x:v>103-1058</x:v>
      </x:c>
      <x:c r="D143" s="17" t="d">
        <x:v>2024-12-20T00:00:00.000Z</x:v>
      </x:c>
      <x:c r="E143" s="18" t="str">
        <x:v>St. Charles</x:v>
      </x:c>
      <x:c r="F143" s="13" t="str">
        <x:v>First Street District #4</x:v>
      </x:c>
      <x:c r="G143" s="15" t="d">
        <x:v>2002-03-18T00:00:00.000Z</x:v>
      </x:c>
      <x:c r="H143" s="19" t="n">
        <x:v>23</x:v>
      </x:c>
      <x:c r="I143" s="19" t="n">
        <x:v>35</x:v>
      </x:c>
      <x:c r="J143" s="19" t="n">
        <x:v>12</x:v>
      </x:c>
      <x:c r="K143" s="19" t="str">
        <x:v>c(281)</x:v>
      </x:c>
      <x:c r="L143" s="12" t="str">
        <x:v>Fiscal year 2025</x:v>
      </x:c>
      <x:c r="M143" s="23" t="n">
        <x:v>492719</x:v>
      </x:c>
      <x:c r="N143" s="22" t="n">
        <x:f>IF(ISNUMBER(M143),M143*J143,"")</x:f>
        <x:v>5912628</x:v>
      </x:c>
      <x:c r="O143" s="13" t="str">
        <x:v>Not determinable from extension law / TIF receipts alone</x:v>
      </x:c>
      <x:c r="P143" s="13" t="str"/>
      <x:c r="Q143" s="12" t="str"/>
      <x:c r="R143" s="24" t="e">
        <x:f>HYPERLINK("https://www.ilga.gov/ftp/Public%20Acts/103/103-1058.htm","Signed Public Act")</x:f>
        <x:v>HYPERLINK is not implemented. linkLocation=https://www.ilga.gov/ftp/Public%20Acts/103/103-1058.htm, friendlyName=Signed Public Act</x:v>
      </x:c>
      <x:c r="S143" s="24" t="e">
        <x:f>HYPERLINK("https://legiscan.com/IL/bill/SB2703/2023","Signing history")</x:f>
        <x:v>HYPERLINK is not implemented. linkLocation=https://legiscan.com/IL/bill/SB2703/2023, friendlyName=Signing history</x:v>
      </x:c>
      <x:c r="T143" s="24" t="e">
        <x:f>HYPERLINK("https://files.illinoiscomptroller.gov/LocGovTIF/FY2025/04508030/25TIF04508030First_Street_4_1.pdf","TIF annual reporting")</x:f>
        <x:v>HYPERLINK is not implemented. linkLocation=https://files.illinoiscomptroller.gov/LocGovTIF/FY2025/04508030/25TIF04508030First_Street_4_1.pdf, friendlyName=TIF annual reporting</x:v>
      </x:c>
      <x:c r="U143" s="24" t="e">
        <x:f>HYPERLINK("https://illinoiscomptroller.gov/constituent-services/local-government/local-government-warehouse/landingpage?code=045%2F080%2F30","Municipal report index")</x:f>
        <x:v>HYPERLINK is not implemented. linkLocation=https://illinoiscomptroller.gov/constituent-services/local-government/local-government-warehouse/landingpage?code=045%2F080%2F30, friendlyName=Municipal report index</x:v>
      </x:c>
      <x:c r="V143" s="24" t="e">
        <x:f>HYPERLINK("https://files.illinoiscomptroller.gov/LocGovTIF/FY2025/04508030/25TIF04508030First_Street_4_1.pdf#page=3","Financial source")</x:f>
        <x:v>HYPERLINK is not implemented. linkLocation=https://files.illinoiscomptroller.gov/LocGovTIF/FY2025/04508030/25TIF04508030First_Street_4_1.pdf#page=3, friendlyName=Financial source</x:v>
      </x:c>
      <x:c r="W143" s="24" t="str">
        <x:v>Municipal TIF annual report, section 3.1, current-year Property Tax Increment. FY 2025</x:v>
      </x:c>
      <x:c r="X143" s="24" t="e">
        <x:f>HYPERLINK("https://www.ilga.gov/ftp/Public%20Acts/103/103-1058.htm","Name source")</x:f>
        <x:v>HYPERLINK is not implemented. linkLocation=https://www.ilga.gov/ftp/Public%20Acts/103/103-1058.htm, friendlyName=Name source</x:v>
      </x:c>
      <x:c r="Y143" s="1" t="n">
        <x:v>1</x:v>
      </x:c>
      <x:c r="Z143" s="1"/>
      <x:c r="AA143" s="1"/>
    </x:row>
    <x:row r="144" ht="54" customHeight="1">
      <x:c r="A144" s="12" t="n">
        <x:v>137</x:v>
      </x:c>
      <x:c r="B144" s="12" t="str">
        <x:v>SB 2703</x:v>
      </x:c>
      <x:c r="C144" s="12" t="str">
        <x:v>103-1058</x:v>
      </x:c>
      <x:c r="D144" s="17" t="d">
        <x:v>2024-12-20T00:00:00.000Z</x:v>
      </x:c>
      <x:c r="E144" s="18" t="str">
        <x:v>Melrose Park</x:v>
      </x:c>
      <x:c r="F144" s="13" t="str">
        <x:v>Seniors First TIF</x:v>
      </x:c>
      <x:c r="G144" s="15" t="d">
        <x:v>2001-04-06T00:00:00.000Z</x:v>
      </x:c>
      <x:c r="H144" s="19" t="n">
        <x:v>23</x:v>
      </x:c>
      <x:c r="I144" s="19" t="n">
        <x:v>35</x:v>
      </x:c>
      <x:c r="J144" s="19" t="n">
        <x:v>12</x:v>
      </x:c>
      <x:c r="K144" s="19" t="str">
        <x:v>c(282)</x:v>
      </x:c>
      <x:c r="L144" s="12" t="str">
        <x:v>Tax year 2024</x:v>
      </x:c>
      <x:c r="M144" s="23" t="n">
        <x:v>1487613.49</x:v>
      </x:c>
      <x:c r="N144" s="22" t="n">
        <x:f>IF(ISNUMBER(M144),M144*J144,"")</x:f>
        <x:v>17851361.88</x:v>
      </x:c>
      <x:c r="O144" s="13" t="str">
        <x:v>Not determinable from extension law / TIF receipts alone</x:v>
      </x:c>
      <x:c r="P144" s="13" t="str"/>
      <x:c r="Q144" s="12" t="str"/>
      <x:c r="R144" s="24" t="e">
        <x:f>HYPERLINK("https://www.ilga.gov/ftp/Public%20Acts/103/103-1058.htm","Signed Public Act")</x:f>
        <x:v>HYPERLINK is not implemented. linkLocation=https://www.ilga.gov/ftp/Public%20Acts/103/103-1058.htm, friendlyName=Signed Public Act</x:v>
      </x:c>
      <x:c r="S144" s="24" t="e">
        <x:f>HYPERLINK("https://legiscan.com/IL/bill/SB2703/2023","Signing history")</x:f>
        <x:v>HYPERLINK is not implemented. linkLocation=https://legiscan.com/IL/bill/SB2703/2023, friendlyName=Signing history</x:v>
      </x:c>
      <x:c r="T144" s="24" t="e">
        <x:f>HYPERLINK("https://files.illinoiscomptroller.gov/LocGovTIF/FY2025/01635032/25TIF01635032Seniors_First_1.pdf","TIF annual reporting")</x:f>
        <x:v>HYPERLINK is not implemented. linkLocation=https://files.illinoiscomptroller.gov/LocGovTIF/FY2025/01635032/25TIF01635032Seniors_First_1.pdf, friendlyName=TIF annual reporting</x:v>
      </x:c>
      <x:c r="U144" s="24" t="e">
        <x:f>HYPERLINK("https://illinoiscomptroller.gov/constituent-services/local-government/local-government-warehouse/landingpage?code=016%2F350%2F32","Municipal report index")</x:f>
        <x:v>HYPERLINK is not implemented. linkLocation=https://illinoiscomptroller.gov/constituent-services/local-government/local-government-warehouse/landingpage?code=016%2F350%2F32, friendlyName=Municipal report index</x:v>
      </x:c>
      <x:c r="V144" s="24" t="e">
        <x:f>HYPERLINK("https://news.wttw.com/sites/default/files/article/file-attachments/2024-tif-report.pdf#page=56","Financial source")</x:f>
        <x:v>HYPERLINK is not implemented. linkLocation=https://news.wttw.com/sites/default/files/article/file-attachments/2024-tif-report.pdf#page=56, friendlyName=Financial source</x:v>
      </x:c>
      <x:c r="W144" s="24" t="str">
        <x:v>Cook County Clerk 2024 TIF report; 03-0770-506; Melrose Park - Seniors First; PDF page 56</x:v>
      </x:c>
      <x:c r="X144" s="24" t="e">
        <x:f>HYPERLINK("https://www.ilga.gov/ftp/Public%20Acts/103/103-1058.htm","Name source")</x:f>
        <x:v>HYPERLINK is not implemented. linkLocation=https://www.ilga.gov/ftp/Public%20Acts/103/103-1058.htm, friendlyName=Name source</x:v>
      </x:c>
      <x:c r="Y144" s="1" t="n">
        <x:v>1</x:v>
      </x:c>
      <x:c r="Z144" s="1"/>
      <x:c r="AA144" s="1"/>
    </x:row>
    <x:row r="145" ht="54" customHeight="1">
      <x:c r="A145" s="12" t="n">
        <x:v>138</x:v>
      </x:c>
      <x:c r="B145" s="12" t="str">
        <x:v>SB 2703</x:v>
      </x:c>
      <x:c r="C145" s="12" t="str">
        <x:v>103-1058</x:v>
      </x:c>
      <x:c r="D145" s="17" t="d">
        <x:v>2024-12-20T00:00:00.000Z</x:v>
      </x:c>
      <x:c r="E145" s="18" t="str">
        <x:v>Melrose Park</x:v>
      </x:c>
      <x:c r="F145" s="13" t="str">
        <x:v>Zenith Opus TIF</x:v>
      </x:c>
      <x:c r="G145" s="15" t="d">
        <x:v>2001-04-06T00:00:00.000Z</x:v>
      </x:c>
      <x:c r="H145" s="19" t="n">
        <x:v>23</x:v>
      </x:c>
      <x:c r="I145" s="19" t="n">
        <x:v>35</x:v>
      </x:c>
      <x:c r="J145" s="19" t="n">
        <x:v>12</x:v>
      </x:c>
      <x:c r="K145" s="19" t="str">
        <x:v>c(283)</x:v>
      </x:c>
      <x:c r="L145" s="12" t="str">
        <x:v>Fiscal year 2025</x:v>
      </x:c>
      <x:c r="M145" s="23" t="n">
        <x:v>609194</x:v>
      </x:c>
      <x:c r="N145" s="22" t="n">
        <x:f>IF(ISNUMBER(M145),M145*J145,"")</x:f>
        <x:v>7310328</x:v>
      </x:c>
      <x:c r="O145" s="13" t="str">
        <x:v>Not determinable from extension law / TIF receipts alone</x:v>
      </x:c>
      <x:c r="P145" s="13" t="str"/>
      <x:c r="Q145" s="12" t="str"/>
      <x:c r="R145" s="24" t="e">
        <x:f>HYPERLINK("https://www.ilga.gov/ftp/Public%20Acts/103/103-1058.htm","Signed Public Act")</x:f>
        <x:v>HYPERLINK is not implemented. linkLocation=https://www.ilga.gov/ftp/Public%20Acts/103/103-1058.htm, friendlyName=Signed Public Act</x:v>
      </x:c>
      <x:c r="S145" s="24" t="e">
        <x:f>HYPERLINK("https://legiscan.com/IL/bill/SB2703/2023","Signing history")</x:f>
        <x:v>HYPERLINK is not implemented. linkLocation=https://legiscan.com/IL/bill/SB2703/2023, friendlyName=Signing history</x:v>
      </x:c>
      <x:c r="T145" s="24" t="e">
        <x:f>HYPERLINK("https://files.illinoiscomptroller.gov/LocGovTIF/FY2025/01635032/25TIF01635032Zenith_Opus_1.pdf","TIF annual reporting")</x:f>
        <x:v>HYPERLINK is not implemented. linkLocation=https://files.illinoiscomptroller.gov/LocGovTIF/FY2025/01635032/25TIF01635032Zenith_Opus_1.pdf, friendlyName=TIF annual reporting</x:v>
      </x:c>
      <x:c r="U145" s="24" t="e">
        <x:f>HYPERLINK("https://illinoiscomptroller.gov/constituent-services/local-government/local-government-warehouse/landingpage?code=016%2F350%2F32","Municipal report index")</x:f>
        <x:v>HYPERLINK is not implemented. linkLocation=https://illinoiscomptroller.gov/constituent-services/local-government/local-government-warehouse/landingpage?code=016%2F350%2F32, friendlyName=Municipal report index</x:v>
      </x:c>
      <x:c r="V145" s="24" t="e">
        <x:f>HYPERLINK("https://files.illinoiscomptroller.gov/LocGovTIF/FY2025/01635032/25TIF01635032Zenith_Opus_1.pdf#page=3","Financial source")</x:f>
        <x:v>HYPERLINK is not implemented. linkLocation=https://files.illinoiscomptroller.gov/LocGovTIF/FY2025/01635032/25TIF01635032Zenith_Opus_1.pdf#page=3, friendlyName=Financial source</x:v>
      </x:c>
      <x:c r="W145" s="24" t="str">
        <x:v>Municipal TIF annual report, section 3.1, current-year Property Tax Increment. FY 2025</x:v>
      </x:c>
      <x:c r="X145" s="24" t="e">
        <x:f>HYPERLINK("https://www.ilga.gov/ftp/Public%20Acts/103/103-1058.htm","Name source")</x:f>
        <x:v>HYPERLINK is not implemented. linkLocation=https://www.ilga.gov/ftp/Public%20Acts/103/103-1058.htm, friendlyName=Name source</x:v>
      </x:c>
      <x:c r="Y145" s="1" t="n">
        <x:v>1</x:v>
      </x:c>
      <x:c r="Z145" s="1"/>
      <x:c r="AA145" s="1"/>
    </x:row>
    <x:row r="146" ht="54" customHeight="1">
      <x:c r="A146" s="12" t="n">
        <x:v>139</x:v>
      </x:c>
      <x:c r="B146" s="12" t="str">
        <x:v>SB 2703</x:v>
      </x:c>
      <x:c r="C146" s="12" t="str">
        <x:v>103-1058</x:v>
      </x:c>
      <x:c r="D146" s="17" t="d">
        <x:v>2024-12-20T00:00:00.000Z</x:v>
      </x:c>
      <x:c r="E146" s="18" t="str">
        <x:v>Lansing</x:v>
      </x:c>
      <x:c r="F146" s="13" t="str">
        <x:v>Ridge Road</x:v>
      </x:c>
      <x:c r="G146" s="15" t="d">
        <x:v>1988-12-20T00:00:00.000Z</x:v>
      </x:c>
      <x:c r="H146" s="19" t="n">
        <x:v>35</x:v>
      </x:c>
      <x:c r="I146" s="19" t="n">
        <x:v>47</x:v>
      </x:c>
      <x:c r="J146" s="19" t="n">
        <x:v>12</x:v>
      </x:c>
      <x:c r="K146" s="19" t="str">
        <x:v>f-5(25)</x:v>
      </x:c>
      <x:c r="L146" s="12" t="str">
        <x:v>Tax year 2024</x:v>
      </x:c>
      <x:c r="M146" s="23" t="n">
        <x:v>2772716.2</x:v>
      </x:c>
      <x:c r="N146" s="22" t="n">
        <x:f>IF(ISNUMBER(M146),M146*J146,"")</x:f>
        <x:v>33272594.400000002</x:v>
      </x:c>
      <x:c r="O146" s="13" t="str">
        <x:v>Not determinable from extension law / TIF receipts alone</x:v>
      </x:c>
      <x:c r="P146" s="13" t="str"/>
      <x:c r="Q146" s="12" t="str"/>
      <x:c r="R146" s="24" t="e">
        <x:f>HYPERLINK("https://www.ilga.gov/ftp/Public%20Acts/103/103-1058.htm","Signed Public Act")</x:f>
        <x:v>HYPERLINK is not implemented. linkLocation=https://www.ilga.gov/ftp/Public%20Acts/103/103-1058.htm, friendlyName=Signed Public Act</x:v>
      </x:c>
      <x:c r="S146" s="24" t="e">
        <x:f>HYPERLINK("https://legiscan.com/IL/bill/SB2703/2023","Signing history")</x:f>
        <x:v>HYPERLINK is not implemented. linkLocation=https://legiscan.com/IL/bill/SB2703/2023, friendlyName=Signing history</x:v>
      </x:c>
      <x:c r="T146" s="24" t="e">
        <x:f>HYPERLINK("https://illinoiscomptroller.gov/constituent-services/local-government/local-government-warehouse/landingpage?code=016%2F305%2F32","TIF annual reporting")</x:f>
        <x:v>HYPERLINK is not implemented. linkLocation=https://illinoiscomptroller.gov/constituent-services/local-government/local-government-warehouse/landingpage?code=016%2F305%2F32, friendlyName=TIF annual reporting</x:v>
      </x:c>
      <x:c r="U146" s="24" t="e">
        <x:f>HYPERLINK("https://illinoiscomptroller.gov/constituent-services/local-government/local-government-warehouse/landingpage?code=016%2F305%2F32","Municipal report index")</x:f>
        <x:v>HYPERLINK is not implemented. linkLocation=https://illinoiscomptroller.gov/constituent-services/local-government/local-government-warehouse/landingpage?code=016%2F305%2F32, friendlyName=Municipal report index</x:v>
      </x:c>
      <x:c r="V146" s="24" t="e">
        <x:f>HYPERLINK("https://news.wttw.com/sites/default/files/article/file-attachments/2024-tif-report.pdf#page=53","Financial source")</x:f>
        <x:v>HYPERLINK is not implemented. linkLocation=https://news.wttw.com/sites/default/files/article/file-attachments/2024-tif-report.pdf#page=53, friendlyName=Financial source</x:v>
      </x:c>
      <x:c r="W146" s="24" t="str">
        <x:v>Cook County Clerk 2024 TIF report; 03-0680-500; Lansing - (Ridge Road); PDF page 53</x:v>
      </x:c>
      <x:c r="X146" s="24" t="e">
        <x:f>HYPERLINK("https://www.ilga.gov/ftp/Public%20Acts/103/103-1058.htm","Name source")</x:f>
        <x:v>HYPERLINK is not implemented. linkLocation=https://www.ilga.gov/ftp/Public%20Acts/103/103-1058.htm, friendlyName=Name source</x:v>
      </x:c>
      <x:c r="Y146" s="1" t="n">
        <x:v>1</x:v>
      </x:c>
      <x:c r="Z146" s="1"/>
      <x:c r="AA146" s="1"/>
    </x:row>
    <x:row r="147" ht="54" customHeight="1">
      <x:c r="A147" s="12" t="n">
        <x:v>140</x:v>
      </x:c>
      <x:c r="B147" s="12" t="str">
        <x:v>SB 2703</x:v>
      </x:c>
      <x:c r="C147" s="12" t="str">
        <x:v>103-1058</x:v>
      </x:c>
      <x:c r="D147" s="17" t="d">
        <x:v>2024-12-20T00:00:00.000Z</x:v>
      </x:c>
      <x:c r="E147" s="18" t="str">
        <x:v>South Holland</x:v>
      </x:c>
      <x:c r="F147" s="13" t="str">
        <x:v>Route 6/S Park Ave TIF RPA</x:v>
      </x:c>
      <x:c r="G147" s="15" t="d">
        <x:v>1989-11-20T00:00:00.000Z</x:v>
      </x:c>
      <x:c r="H147" s="19" t="n">
        <x:v>35</x:v>
      </x:c>
      <x:c r="I147" s="19" t="n">
        <x:v>47</x:v>
      </x:c>
      <x:c r="J147" s="19" t="n">
        <x:v>12</x:v>
      </x:c>
      <x:c r="K147" s="19" t="str">
        <x:v>f-5(26)</x:v>
      </x:c>
      <x:c r="L147" s="12" t="str">
        <x:v>Tax year 2024</x:v>
      </x:c>
      <x:c r="M147" s="23" t="n">
        <x:v>766521.88</x:v>
      </x:c>
      <x:c r="N147" s="22" t="n">
        <x:f>IF(ISNUMBER(M147),M147*J147,"")</x:f>
        <x:v>9198262.56</x:v>
      </x:c>
      <x:c r="O147" s="13" t="str">
        <x:v>Not determinable from extension law / TIF receipts alone</x:v>
      </x:c>
      <x:c r="P147" s="13" t="str"/>
      <x:c r="Q147" s="12" t="str"/>
      <x:c r="R147" s="24" t="e">
        <x:f>HYPERLINK("https://www.ilga.gov/ftp/Public%20Acts/103/103-1058.htm","Signed Public Act")</x:f>
        <x:v>HYPERLINK is not implemented. linkLocation=https://www.ilga.gov/ftp/Public%20Acts/103/103-1058.htm, friendlyName=Signed Public Act</x:v>
      </x:c>
      <x:c r="S147" s="24" t="e">
        <x:f>HYPERLINK("https://legiscan.com/IL/bill/SB2703/2023","Signing history")</x:f>
        <x:v>HYPERLINK is not implemented. linkLocation=https://legiscan.com/IL/bill/SB2703/2023, friendlyName=Signing history</x:v>
      </x:c>
      <x:c r="T147" s="24" t="e">
        <x:f>HYPERLINK("https://files.illinoiscomptroller.gov/LocGovTIF/FY2025/01654032/25TIF01654032Route_6_S_TIF_RPA_1.pdf","TIF annual reporting")</x:f>
        <x:v>HYPERLINK is not implemented. linkLocation=https://files.illinoiscomptroller.gov/LocGovTIF/FY2025/01654032/25TIF01654032Route_6_S_TIF_RPA_1.pdf, friendlyName=TIF annual reporting</x:v>
      </x:c>
      <x:c r="U147" s="24" t="e">
        <x:f>HYPERLINK("https://illinoiscomptroller.gov/constituent-services/local-government/local-government-warehouse/landingpage?code=016%2F540%2F32","Municipal report index")</x:f>
        <x:v>HYPERLINK is not implemented. linkLocation=https://illinoiscomptroller.gov/constituent-services/local-government/local-government-warehouse/landingpage?code=016%2F540%2F32, friendlyName=Municipal report index</x:v>
      </x:c>
      <x:c r="V147" s="24" t="e">
        <x:f>HYPERLINK("https://news.wttw.com/sites/default/files/article/file-attachments/2024-tif-report.pdf#page=63","Financial source")</x:f>
        <x:v>HYPERLINK is not implemented. linkLocation=https://news.wttw.com/sites/default/files/article/file-attachments/2024-tif-report.pdf#page=63, friendlyName=Financial source</x:v>
      </x:c>
      <x:c r="W147" s="24" t="str">
        <x:v>Cook County Clerk 2024 TIF report; 03-1200-501; South Holland - Route 6 / South Park; PDF page 63</x:v>
      </x:c>
      <x:c r="X147" s="24" t="e">
        <x:f>HYPERLINK("https://files.illinoiscomptroller.gov/LocGovTIF/FY2025/01654032/25TIF01654032Route_6_S_TIF_RPA_1.pdf","Name source")</x:f>
        <x:v>HYPERLINK is not implemented. linkLocation=https://files.illinoiscomptroller.gov/LocGovTIF/FY2025/01654032/25TIF01654032Route_6_S_TIF_RPA_1.pdf, friendlyName=Name source</x:v>
      </x:c>
      <x:c r="Y147" s="1" t="n">
        <x:v>1</x:v>
      </x:c>
      <x:c r="Z147" s="1"/>
      <x:c r="AA147" s="1"/>
    </x:row>
    <x:row r="148" ht="54" customHeight="1">
      <x:c r="A148" s="12" t="n">
        <x:v>141</x:v>
      </x:c>
      <x:c r="B148" s="12" t="str">
        <x:v>SB 2703</x:v>
      </x:c>
      <x:c r="C148" s="12" t="str">
        <x:v>103-1058</x:v>
      </x:c>
      <x:c r="D148" s="17" t="d">
        <x:v>2024-12-20T00:00:00.000Z</x:v>
      </x:c>
      <x:c r="E148" s="18" t="str">
        <x:v>Melrose Park</x:v>
      </x:c>
      <x:c r="F148" s="13" t="str">
        <x:v>Mid-Metros TIF</x:v>
      </x:c>
      <x:c r="G148" s="15" t="d">
        <x:v>1989-12-11T00:00:00.000Z</x:v>
      </x:c>
      <x:c r="H148" s="19" t="n">
        <x:v>35</x:v>
      </x:c>
      <x:c r="I148" s="19" t="n">
        <x:v>47</x:v>
      </x:c>
      <x:c r="J148" s="19" t="n">
        <x:v>12</x:v>
      </x:c>
      <x:c r="K148" s="19" t="str">
        <x:v>f-5(27)</x:v>
      </x:c>
      <x:c r="L148" s="12" t="str">
        <x:v>Tax year 2024</x:v>
      </x:c>
      <x:c r="M148" s="23" t="n">
        <x:v>3413785.18</x:v>
      </x:c>
      <x:c r="N148" s="22" t="n">
        <x:f>IF(ISNUMBER(M148),M148*J148,"")</x:f>
        <x:v>40965422.160000004</x:v>
      </x:c>
      <x:c r="O148" s="13" t="str">
        <x:v>Not determinable from extension law / TIF receipts alone</x:v>
      </x:c>
      <x:c r="P148" s="13" t="str"/>
      <x:c r="Q148" s="12" t="str"/>
      <x:c r="R148" s="24" t="e">
        <x:f>HYPERLINK("https://www.ilga.gov/ftp/Public%20Acts/103/103-1058.htm","Signed Public Act")</x:f>
        <x:v>HYPERLINK is not implemented. linkLocation=https://www.ilga.gov/ftp/Public%20Acts/103/103-1058.htm, friendlyName=Signed Public Act</x:v>
      </x:c>
      <x:c r="S148" s="24" t="e">
        <x:f>HYPERLINK("https://legiscan.com/IL/bill/SB2703/2023","Signing history")</x:f>
        <x:v>HYPERLINK is not implemented. linkLocation=https://legiscan.com/IL/bill/SB2703/2023, friendlyName=Signing history</x:v>
      </x:c>
      <x:c r="T148" s="24" t="e">
        <x:f>HYPERLINK("https://files.illinoiscomptroller.gov/LocGovTIF/FY2025/01635032/25TIF01635032Mid_Metro_Ind_1.pdf","TIF annual reporting")</x:f>
        <x:v>HYPERLINK is not implemented. linkLocation=https://files.illinoiscomptroller.gov/LocGovTIF/FY2025/01635032/25TIF01635032Mid_Metro_Ind_1.pdf, friendlyName=TIF annual reporting</x:v>
      </x:c>
      <x:c r="U148" s="24" t="e">
        <x:f>HYPERLINK("https://illinoiscomptroller.gov/constituent-services/local-government/local-government-warehouse/landingpage?code=016%2F350%2F32","Municipal report index")</x:f>
        <x:v>HYPERLINK is not implemented. linkLocation=https://illinoiscomptroller.gov/constituent-services/local-government/local-government-warehouse/landingpage?code=016%2F350%2F32, friendlyName=Municipal report index</x:v>
      </x:c>
      <x:c r="V148" s="24" t="e">
        <x:f>HYPERLINK("https://news.wttw.com/sites/default/files/article/file-attachments/2024-tif-report.pdf#page=56","Financial source")</x:f>
        <x:v>HYPERLINK is not implemented. linkLocation=https://news.wttw.com/sites/default/files/article/file-attachments/2024-tif-report.pdf#page=56, friendlyName=Financial source</x:v>
      </x:c>
      <x:c r="W148" s="24" t="str">
        <x:v>Cook County Clerk 2024 TIF report; 03-0770-500; Melrose Park - Mid Metro Industrial Area; PDF page 56</x:v>
      </x:c>
      <x:c r="X148" s="24" t="e">
        <x:f>HYPERLINK("https://www.ilga.gov/ftp/Public%20Acts/103/103-1058.htm","Name source")</x:f>
        <x:v>HYPERLINK is not implemented. linkLocation=https://www.ilga.gov/ftp/Public%20Acts/103/103-1058.htm, friendlyName=Name source</x:v>
      </x:c>
      <x:c r="Y148" s="1" t="n">
        <x:v>1</x:v>
      </x:c>
      <x:c r="Z148" s="1"/>
      <x:c r="AA148" s="1"/>
    </x:row>
    <x:row r="149" ht="54" customHeight="1">
      <x:c r="A149" s="12" t="n">
        <x:v>142</x:v>
      </x:c>
      <x:c r="B149" s="12" t="str">
        <x:v>HB 3662</x:v>
      </x:c>
      <x:c r="C149" s="12" t="str">
        <x:v>104-0322</x:v>
      </x:c>
      <x:c r="D149" s="17" t="d">
        <x:v>2025-08-15T00:00:00.000Z</x:v>
      </x:c>
      <x:c r="E149" s="18" t="str">
        <x:v>Lewistown</x:v>
      </x:c>
      <x:c r="F149" s="13" t="str">
        <x:v>Lewistown TIF District 1</x:v>
      </x:c>
      <x:c r="G149" s="15" t="d">
        <x:v>2003-06-24T00:00:00.000Z</x:v>
      </x:c>
      <x:c r="H149" s="19" t="n">
        <x:v>23</x:v>
      </x:c>
      <x:c r="I149" s="19" t="n">
        <x:v>35</x:v>
      </x:c>
      <x:c r="J149" s="19" t="n">
        <x:v>12</x:v>
      </x:c>
      <x:c r="K149" s="19" t="str">
        <x:v>c(284)</x:v>
      </x:c>
      <x:c r="L149" s="12" t="str">
        <x:v>Fiscal year 2026</x:v>
      </x:c>
      <x:c r="M149" s="23" t="n">
        <x:v>111372</x:v>
      </x:c>
      <x:c r="N149" s="22" t="n">
        <x:f>IF(ISNUMBER(M149),M149*J149,"")</x:f>
        <x:v>1336464</x:v>
      </x:c>
      <x:c r="O149" s="13" t="str">
        <x:v>Not determinable from extension law / TIF receipts alone</x:v>
      </x:c>
      <x:c r="P149" s="13" t="str"/>
      <x:c r="Q149" s="12" t="str"/>
      <x:c r="R149" s="24" t="e">
        <x:f>HYPERLINK("https://www.ilga.gov/ftp/Public%20Acts/104/104-0322.htm","Signed Public Act")</x:f>
        <x:v>HYPERLINK is not implemented. linkLocation=https://www.ilga.gov/ftp/Public%20Acts/104/104-0322.htm, friendlyName=Signed Public Act</x:v>
      </x:c>
      <x:c r="S149" s="24" t="e">
        <x:f>HYPERLINK("https://legiscan.com/IL/bill/HB3662/2025","Signing history")</x:f>
        <x:v>HYPERLINK is not implemented. linkLocation=https://legiscan.com/IL/bill/HB3662/2025, friendlyName=Signing history</x:v>
      </x:c>
      <x:c r="T149" s="24" t="e">
        <x:f>HYPERLINK("https://files.illinoiscomptroller.gov/LocGovTIF/FY2026/02906530/26TIF02906530TIF__1_1.pdf","TIF annual reporting")</x:f>
        <x:v>HYPERLINK is not implemented. linkLocation=https://files.illinoiscomptroller.gov/LocGovTIF/FY2026/02906530/26TIF02906530TIF__1_1.pdf, friendlyName=TIF annual reporting</x:v>
      </x:c>
      <x:c r="U149" s="24" t="e">
        <x:f>HYPERLINK("https://illinoiscomptroller.gov/constituent-services/local-government/local-government-warehouse/landingpage?code=029%2F065%2F30","Municipal report index")</x:f>
        <x:v>HYPERLINK is not implemented. linkLocation=https://illinoiscomptroller.gov/constituent-services/local-government/local-government-warehouse/landingpage?code=029%2F065%2F30, friendlyName=Municipal report index</x:v>
      </x:c>
      <x:c r="V149" s="24" t="e">
        <x:f>HYPERLINK("https://files.illinoiscomptroller.gov/LocGovTIF/FY2026/02906530/26TIF02906530TIF__1_1.pdf#page=3","Financial source")</x:f>
        <x:v>HYPERLINK is not implemented. linkLocation=https://files.illinoiscomptroller.gov/LocGovTIF/FY2026/02906530/26TIF02906530TIF__1_1.pdf#page=3, friendlyName=Financial source</x:v>
      </x:c>
      <x:c r="W149" s="24" t="str">
        <x:v>Municipal TIF annual report, section 3.1, current-year Property Tax Increment. FY 2026</x:v>
      </x:c>
      <x:c r="X149" s="24" t="e">
        <x:f>HYPERLINK("https://www.ilga.gov/ftp/Public%20Acts/104/104-0322.htm","Name source")</x:f>
        <x:v>HYPERLINK is not implemented. linkLocation=https://www.ilga.gov/ftp/Public%20Acts/104/104-0322.htm, friendlyName=Name source</x:v>
      </x:c>
      <x:c r="Y149" s="1" t="n">
        <x:v>1</x:v>
      </x:c>
      <x:c r="Z149" s="1"/>
      <x:c r="AA149" s="1"/>
    </x:row>
    <x:row r="150" ht="54" customHeight="1">
      <x:c r="A150" s="12" t="n">
        <x:v>143</x:v>
      </x:c>
      <x:c r="B150" s="12" t="str">
        <x:v>HB 3662</x:v>
      </x:c>
      <x:c r="C150" s="12" t="str">
        <x:v>104-0322</x:v>
      </x:c>
      <x:c r="D150" s="17" t="d">
        <x:v>2025-08-15T00:00:00.000Z</x:v>
      </x:c>
      <x:c r="E150" s="18" t="str">
        <x:v>Elgin</x:v>
      </x:c>
      <x:c r="F150" s="13" t="str">
        <x:v>Central Area TIF Redevelopment Project Area</x:v>
      </x:c>
      <x:c r="G150" s="15" t="d">
        <x:v>2002-04-10T00:00:00.000Z</x:v>
      </x:c>
      <x:c r="H150" s="19" t="n">
        <x:v>23</x:v>
      </x:c>
      <x:c r="I150" s="19" t="n">
        <x:v>35</x:v>
      </x:c>
      <x:c r="J150" s="19" t="n">
        <x:v>12</x:v>
      </x:c>
      <x:c r="K150" s="19" t="str">
        <x:v>c(285)</x:v>
      </x:c>
      <x:c r="L150" s="12" t="str">
        <x:v>Fiscal year 2025</x:v>
      </x:c>
      <x:c r="M150" s="23" t="n">
        <x:v>7425747</x:v>
      </x:c>
      <x:c r="N150" s="22" t="n">
        <x:f>IF(ISNUMBER(M150),M150*J150,"")</x:f>
        <x:v>89108964</x:v>
      </x:c>
      <x:c r="O150" s="13" t="str">
        <x:v>Not determinable from extension law / TIF receipts alone</x:v>
      </x:c>
      <x:c r="P150" s="13" t="str"/>
      <x:c r="Q150" s="12" t="str"/>
      <x:c r="R150" s="24" t="e">
        <x:f>HYPERLINK("https://www.ilga.gov/ftp/Public%20Acts/104/104-0322.htm","Signed Public Act")</x:f>
        <x:v>HYPERLINK is not implemented. linkLocation=https://www.ilga.gov/ftp/Public%20Acts/104/104-0322.htm, friendlyName=Signed Public Act</x:v>
      </x:c>
      <x:c r="S150" s="24" t="e">
        <x:f>HYPERLINK("https://legiscan.com/IL/bill/HB3662/2025","Signing history")</x:f>
        <x:v>HYPERLINK is not implemented. linkLocation=https://legiscan.com/IL/bill/HB3662/2025, friendlyName=Signing history</x:v>
      </x:c>
      <x:c r="T150" s="24" t="e">
        <x:f>HYPERLINK("https://files.illinoiscomptroller.gov/LocGovTIF/FY2025/04504030/25TIF04504030Central_Area_1.pdf","TIF annual reporting")</x:f>
        <x:v>HYPERLINK is not implemented. linkLocation=https://files.illinoiscomptroller.gov/LocGovTIF/FY2025/04504030/25TIF04504030Central_Area_1.pdf, friendlyName=TIF annual reporting</x:v>
      </x:c>
      <x:c r="U150" s="24" t="e">
        <x:f>HYPERLINK("https://illinoiscomptroller.gov/constituent-services/local-government/local-government-warehouse/landingpage?code=045%2F040%2F30","Municipal report index")</x:f>
        <x:v>HYPERLINK is not implemented. linkLocation=https://illinoiscomptroller.gov/constituent-services/local-government/local-government-warehouse/landingpage?code=045%2F040%2F30, friendlyName=Municipal report index</x:v>
      </x:c>
      <x:c r="V150" s="24" t="e">
        <x:f>HYPERLINK("https://files.illinoiscomptroller.gov/LocGovTIF/FY2025/04504030/25TIF04504030Central_Area_1.pdf#page=3","Financial source")</x:f>
        <x:v>HYPERLINK is not implemented. linkLocation=https://files.illinoiscomptroller.gov/LocGovTIF/FY2025/04504030/25TIF04504030Central_Area_1.pdf#page=3, friendlyName=Financial source</x:v>
      </x:c>
      <x:c r="W150" s="24" t="str">
        <x:v>Municipal TIF annual report, section 3.1, current-year Property Tax Increment. FY 2025</x:v>
      </x:c>
      <x:c r="X150" s="24" t="e">
        <x:f>HYPERLINK("https://www.ilga.gov/ftp/Public%20Acts/104/104-0322.htm","Name source")</x:f>
        <x:v>HYPERLINK is not implemented. linkLocation=https://www.ilga.gov/ftp/Public%20Acts/104/104-0322.htm, friendlyName=Name source</x:v>
      </x:c>
      <x:c r="Y150" s="1" t="n">
        <x:v>1</x:v>
      </x:c>
      <x:c r="Z150" s="1"/>
      <x:c r="AA150" s="1"/>
    </x:row>
    <x:row r="151" ht="54" customHeight="1">
      <x:c r="A151" s="12" t="n">
        <x:v>144</x:v>
      </x:c>
      <x:c r="B151" s="12" t="str">
        <x:v>HB 3662</x:v>
      </x:c>
      <x:c r="C151" s="12" t="str">
        <x:v>104-0322</x:v>
      </x:c>
      <x:c r="D151" s="17" t="d">
        <x:v>2025-08-15T00:00:00.000Z</x:v>
      </x:c>
      <x:c r="E151" s="18" t="str">
        <x:v>Carbondale</x:v>
      </x:c>
      <x:c r="F151" s="13" t="str">
        <x:v>TIF Redevelopment Project Area #1</x:v>
      </x:c>
      <x:c r="G151" s="15" t="d">
        <x:v>2004-02-17T00:00:00.000Z</x:v>
      </x:c>
      <x:c r="H151" s="19" t="n">
        <x:v>23</x:v>
      </x:c>
      <x:c r="I151" s="19" t="n">
        <x:v>35</x:v>
      </x:c>
      <x:c r="J151" s="19" t="n">
        <x:v>12</x:v>
      </x:c>
      <x:c r="K151" s="19" t="str">
        <x:v>c(286)</x:v>
      </x:c>
      <x:c r="L151" s="12" t="str">
        <x:v>Fiscal year 2025</x:v>
      </x:c>
      <x:c r="M151" s="23" t="n">
        <x:v>241854</x:v>
      </x:c>
      <x:c r="N151" s="22" t="n">
        <x:f>IF(ISNUMBER(M151),M151*J151,"")</x:f>
        <x:v>2902248</x:v>
      </x:c>
      <x:c r="O151" s="13" t="str">
        <x:v>Not determinable from extension law / TIF receipts alone</x:v>
      </x:c>
      <x:c r="P151" s="13" t="str"/>
      <x:c r="Q151" s="12" t="str"/>
      <x:c r="R151" s="24" t="e">
        <x:f>HYPERLINK("https://www.ilga.gov/ftp/Public%20Acts/104/104-0322.htm","Signed Public Act")</x:f>
        <x:v>HYPERLINK is not implemented. linkLocation=https://www.ilga.gov/ftp/Public%20Acts/104/104-0322.htm, friendlyName=Signed Public Act</x:v>
      </x:c>
      <x:c r="S151" s="24" t="e">
        <x:f>HYPERLINK("https://legiscan.com/IL/bill/HB3662/2025","Signing history")</x:f>
        <x:v>HYPERLINK is not implemented. linkLocation=https://legiscan.com/IL/bill/HB3662/2025, friendlyName=Signing history</x:v>
      </x:c>
      <x:c r="T151" s="24" t="e">
        <x:f>HYPERLINK("https://files.illinoiscomptroller.gov/LocGovTIF/FY2025/03902030/25TIF03902030TIF_1_1.pdf","TIF annual reporting")</x:f>
        <x:v>HYPERLINK is not implemented. linkLocation=https://files.illinoiscomptroller.gov/LocGovTIF/FY2025/03902030/25TIF03902030TIF_1_1.pdf, friendlyName=TIF annual reporting</x:v>
      </x:c>
      <x:c r="U151" s="24" t="e">
        <x:f>HYPERLINK("https://illinoiscomptroller.gov/constituent-services/local-government/local-government-warehouse/landingpage?code=039%2F020%2F30","Municipal report index")</x:f>
        <x:v>HYPERLINK is not implemented. linkLocation=https://illinoiscomptroller.gov/constituent-services/local-government/local-government-warehouse/landingpage?code=039%2F020%2F30, friendlyName=Municipal report index</x:v>
      </x:c>
      <x:c r="V151" s="24" t="e">
        <x:f>HYPERLINK("https://files.illinoiscomptroller.gov/LocGovTIF/FY2025/03902030/25TIF03902030TIF_1_1.pdf#page=3","Financial source")</x:f>
        <x:v>HYPERLINK is not implemented. linkLocation=https://files.illinoiscomptroller.gov/LocGovTIF/FY2025/03902030/25TIF03902030TIF_1_1.pdf#page=3, friendlyName=Financial source</x:v>
      </x:c>
      <x:c r="W151" s="24" t="str">
        <x:v>Municipal TIF annual report, section 3.1, current-year Property Tax Increment. FY 2025</x:v>
      </x:c>
      <x:c r="X151" s="24" t="e">
        <x:f>HYPERLINK("https://www.ilga.gov/ftp/Public%20Acts/104/104-0322.htm","Name source")</x:f>
        <x:v>HYPERLINK is not implemented. linkLocation=https://www.ilga.gov/ftp/Public%20Acts/104/104-0322.htm, friendlyName=Name source</x:v>
      </x:c>
      <x:c r="Y151" s="1" t="n">
        <x:v>1</x:v>
      </x:c>
      <x:c r="Z151" s="1"/>
      <x:c r="AA151" s="1"/>
    </x:row>
    <x:row r="152" ht="54" customHeight="1">
      <x:c r="A152" s="12" t="n">
        <x:v>145</x:v>
      </x:c>
      <x:c r="B152" s="12" t="str">
        <x:v>HB 3662</x:v>
      </x:c>
      <x:c r="C152" s="12" t="str">
        <x:v>104-0322</x:v>
      </x:c>
      <x:c r="D152" s="17" t="d">
        <x:v>2025-08-15T00:00:00.000Z</x:v>
      </x:c>
      <x:c r="E152" s="18" t="str">
        <x:v>Pittsfield</x:v>
      </x:c>
      <x:c r="F152" s="13" t="str">
        <x:v>Pittsfield TIF District #1</x:v>
      </x:c>
      <x:c r="G152" s="15" t="d">
        <x:v>2008-07-01T00:00:00.000Z</x:v>
      </x:c>
      <x:c r="H152" s="19" t="n">
        <x:v>23</x:v>
      </x:c>
      <x:c r="I152" s="19" t="n">
        <x:v>35</x:v>
      </x:c>
      <x:c r="J152" s="19" t="n">
        <x:v>12</x:v>
      </x:c>
      <x:c r="K152" s="19" t="str">
        <x:v>c(287)</x:v>
      </x:c>
      <x:c r="L152" s="12" t="str">
        <x:v>Fiscal year 2025</x:v>
      </x:c>
      <x:c r="M152" s="23" t="n">
        <x:v>657378</x:v>
      </x:c>
      <x:c r="N152" s="22" t="n">
        <x:f>IF(ISNUMBER(M152),M152*J152,"")</x:f>
        <x:v>7888536</x:v>
      </x:c>
      <x:c r="O152" s="13" t="str">
        <x:v>Not determinable from extension law / TIF receipts alone</x:v>
      </x:c>
      <x:c r="P152" s="13" t="str"/>
      <x:c r="Q152" s="12" t="str"/>
      <x:c r="R152" s="24" t="e">
        <x:f>HYPERLINK("https://www.ilga.gov/ftp/Public%20Acts/104/104-0322.htm","Signed Public Act")</x:f>
        <x:v>HYPERLINK is not implemented. linkLocation=https://www.ilga.gov/ftp/Public%20Acts/104/104-0322.htm, friendlyName=Signed Public Act</x:v>
      </x:c>
      <x:c r="S152" s="24" t="e">
        <x:f>HYPERLINK("https://legiscan.com/IL/bill/HB3662/2025","Signing history")</x:f>
        <x:v>HYPERLINK is not implemented. linkLocation=https://legiscan.com/IL/bill/HB3662/2025, friendlyName=Signing history</x:v>
      </x:c>
      <x:c r="T152" s="24" t="e">
        <x:f>HYPERLINK("https://files.illinoiscomptroller.gov/LocGovTIF/FY2025/07508030/25TIF07508030Pittsfield_TIF_1.pdf","TIF annual reporting")</x:f>
        <x:v>HYPERLINK is not implemented. linkLocation=https://files.illinoiscomptroller.gov/LocGovTIF/FY2025/07508030/25TIF07508030Pittsfield_TIF_1.pdf, friendlyName=TIF annual reporting</x:v>
      </x:c>
      <x:c r="U152" s="24" t="e">
        <x:f>HYPERLINK("https://illinoiscomptroller.gov/constituent-services/local-government/local-government-warehouse/landingpage?code=075%2F080%2F30","Municipal report index")</x:f>
        <x:v>HYPERLINK is not implemented. linkLocation=https://illinoiscomptroller.gov/constituent-services/local-government/local-government-warehouse/landingpage?code=075%2F080%2F30, friendlyName=Municipal report index</x:v>
      </x:c>
      <x:c r="V152" s="24" t="e">
        <x:f>HYPERLINK("https://files.illinoiscomptroller.gov/LocGovTIF/FY2025/07508030/25TIF07508030Pittsfield_TIF_1.pdf#page=3","Financial source")</x:f>
        <x:v>HYPERLINK is not implemented. linkLocation=https://files.illinoiscomptroller.gov/LocGovTIF/FY2025/07508030/25TIF07508030Pittsfield_TIF_1.pdf#page=3, friendlyName=Financial source</x:v>
      </x:c>
      <x:c r="W152" s="24" t="str">
        <x:v>Municipal TIF annual report, section 3.1, current-year Property Tax Increment. FY 2025</x:v>
      </x:c>
      <x:c r="X152" s="24" t="e">
        <x:f>HYPERLINK("https://www.ilga.gov/ftp/Public%20Acts/104/104-0322.htm","Name source")</x:f>
        <x:v>HYPERLINK is not implemented. linkLocation=https://www.ilga.gov/ftp/Public%20Acts/104/104-0322.htm, friendlyName=Name source</x:v>
      </x:c>
      <x:c r="Y152" s="1" t="n">
        <x:v>1</x:v>
      </x:c>
      <x:c r="Z152" s="1"/>
      <x:c r="AA152" s="1"/>
    </x:row>
    <x:row r="153" ht="54" customHeight="1">
      <x:c r="A153" s="12" t="n">
        <x:v>146</x:v>
      </x:c>
      <x:c r="B153" s="12" t="str">
        <x:v>HB 3662</x:v>
      </x:c>
      <x:c r="C153" s="12" t="str">
        <x:v>104-0322</x:v>
      </x:c>
      <x:c r="D153" s="17" t="d">
        <x:v>2025-08-15T00:00:00.000Z</x:v>
      </x:c>
      <x:c r="E153" s="18" t="str">
        <x:v>Fairview Heights</x:v>
      </x:c>
      <x:c r="F153" s="13" t="str">
        <x:v>Shoppes of St. Clair Redevelopment Area</x:v>
      </x:c>
      <x:c r="G153" s="15" t="d">
        <x:v>2005-06-22T00:00:00.000Z</x:v>
      </x:c>
      <x:c r="H153" s="19" t="n">
        <x:v>23</x:v>
      </x:c>
      <x:c r="I153" s="19" t="n">
        <x:v>35</x:v>
      </x:c>
      <x:c r="J153" s="19" t="n">
        <x:v>12</x:v>
      </x:c>
      <x:c r="K153" s="19" t="str">
        <x:v>c(288)</x:v>
      </x:c>
      <x:c r="L153" s="12" t="str">
        <x:v>Fiscal year 2025</x:v>
      </x:c>
      <x:c r="M153" s="23" t="n">
        <x:v>337378</x:v>
      </x:c>
      <x:c r="N153" s="22" t="n">
        <x:f>IF(ISNUMBER(M153),M153*J153,"")</x:f>
        <x:v>4048536</x:v>
      </x:c>
      <x:c r="O153" s="13" t="str">
        <x:v>Not determinable from extension law / TIF receipts alone</x:v>
      </x:c>
      <x:c r="P153" s="13" t="str"/>
      <x:c r="Q153" s="12" t="str"/>
      <x:c r="R153" s="24" t="e">
        <x:f>HYPERLINK("https://www.ilga.gov/ftp/Public%20Acts/104/104-0322.htm","Signed Public Act")</x:f>
        <x:v>HYPERLINK is not implemented. linkLocation=https://www.ilga.gov/ftp/Public%20Acts/104/104-0322.htm, friendlyName=Signed Public Act</x:v>
      </x:c>
      <x:c r="S153" s="24" t="e">
        <x:f>HYPERLINK("https://legiscan.com/IL/bill/HB3662/2025","Signing history")</x:f>
        <x:v>HYPERLINK is not implemented. linkLocation=https://legiscan.com/IL/bill/HB3662/2025, friendlyName=Signing history</x:v>
      </x:c>
      <x:c r="T153" s="24" t="e">
        <x:f>HYPERLINK("https://files.illinoiscomptroller.gov/LocGovTIF/FY2025/08806030/25TIF08806030Shoppes_ar_Square_1.pdf","TIF annual reporting")</x:f>
        <x:v>HYPERLINK is not implemented. linkLocation=https://files.illinoiscomptroller.gov/LocGovTIF/FY2025/08806030/25TIF08806030Shoppes_ar_Square_1.pdf, friendlyName=TIF annual reporting</x:v>
      </x:c>
      <x:c r="U153" s="24" t="e">
        <x:f>HYPERLINK("https://illinoiscomptroller.gov/constituent-services/local-government/local-government-warehouse/landingpage?code=088%2F060%2F30","Municipal report index")</x:f>
        <x:v>HYPERLINK is not implemented. linkLocation=https://illinoiscomptroller.gov/constituent-services/local-government/local-government-warehouse/landingpage?code=088%2F060%2F30, friendlyName=Municipal report index</x:v>
      </x:c>
      <x:c r="V153" s="24" t="e">
        <x:f>HYPERLINK("https://files.illinoiscomptroller.gov/LocGovTIF/FY2025/08806030/25TIF08806030Shoppes_ar_Square_1.pdf#page=3","Financial source")</x:f>
        <x:v>HYPERLINK is not implemented. linkLocation=https://files.illinoiscomptroller.gov/LocGovTIF/FY2025/08806030/25TIF08806030Shoppes_ar_Square_1.pdf#page=3, friendlyName=Financial source</x:v>
      </x:c>
      <x:c r="W153" s="24" t="str">
        <x:v>Municipal TIF annual report, section 3.1, current-year Property Tax Increment. FY 2025</x:v>
      </x:c>
      <x:c r="X153" s="24" t="e">
        <x:f>HYPERLINK("https://www.ilga.gov/ftp/Public%20Acts/104/104-0322.htm","Name source")</x:f>
        <x:v>HYPERLINK is not implemented. linkLocation=https://www.ilga.gov/ftp/Public%20Acts/104/104-0322.htm, friendlyName=Name source</x:v>
      </x:c>
      <x:c r="Y153" s="1" t="n">
        <x:v>1</x:v>
      </x:c>
      <x:c r="Z153" s="1"/>
      <x:c r="AA153" s="1"/>
    </x:row>
    <x:row r="154" ht="54" customHeight="1">
      <x:c r="A154" s="12" t="n">
        <x:v>147</x:v>
      </x:c>
      <x:c r="B154" s="12" t="str">
        <x:v>HB 3662</x:v>
      </x:c>
      <x:c r="C154" s="12" t="str">
        <x:v>104-0322</x:v>
      </x:c>
      <x:c r="D154" s="17" t="d">
        <x:v>2025-08-15T00:00:00.000Z</x:v>
      </x:c>
      <x:c r="E154" s="18" t="str">
        <x:v>Fairview Heights</x:v>
      </x:c>
      <x:c r="F154" s="13" t="str">
        <x:v>Lincoln Trail Redevelopment Area</x:v>
      </x:c>
      <x:c r="G154" s="15" t="d">
        <x:v>2007-12-04T00:00:00.000Z</x:v>
      </x:c>
      <x:c r="H154" s="19" t="n">
        <x:v>23</x:v>
      </x:c>
      <x:c r="I154" s="19" t="n">
        <x:v>35</x:v>
      </x:c>
      <x:c r="J154" s="19" t="n">
        <x:v>12</x:v>
      </x:c>
      <x:c r="K154" s="19" t="str">
        <x:v>c(289)</x:v>
      </x:c>
      <x:c r="L154" s="12" t="str">
        <x:v>Fiscal year 2025</x:v>
      </x:c>
      <x:c r="M154" s="23" t="n">
        <x:v>460997</x:v>
      </x:c>
      <x:c r="N154" s="22" t="n">
        <x:f>IF(ISNUMBER(M154),M154*J154,"")</x:f>
        <x:v>5531964</x:v>
      </x:c>
      <x:c r="O154" s="13" t="str">
        <x:v>Not determinable from extension law / TIF receipts alone</x:v>
      </x:c>
      <x:c r="P154" s="13" t="str"/>
      <x:c r="Q154" s="12" t="str"/>
      <x:c r="R154" s="24" t="e">
        <x:f>HYPERLINK("https://www.ilga.gov/ftp/Public%20Acts/104/104-0322.htm","Signed Public Act")</x:f>
        <x:v>HYPERLINK is not implemented. linkLocation=https://www.ilga.gov/ftp/Public%20Acts/104/104-0322.htm, friendlyName=Signed Public Act</x:v>
      </x:c>
      <x:c r="S154" s="24" t="e">
        <x:f>HYPERLINK("https://legiscan.com/IL/bill/HB3662/2025","Signing history")</x:f>
        <x:v>HYPERLINK is not implemented. linkLocation=https://legiscan.com/IL/bill/HB3662/2025, friendlyName=Signing history</x:v>
      </x:c>
      <x:c r="T154" s="24" t="e">
        <x:f>HYPERLINK("https://files.illinoiscomptroller.gov/LocGovTIF/FY2025/08806030/25TIF08806030Lincoln_Trail_1.pdf","TIF annual reporting")</x:f>
        <x:v>HYPERLINK is not implemented. linkLocation=https://files.illinoiscomptroller.gov/LocGovTIF/FY2025/08806030/25TIF08806030Lincoln_Trail_1.pdf, friendlyName=TIF annual reporting</x:v>
      </x:c>
      <x:c r="U154" s="24" t="e">
        <x:f>HYPERLINK("https://illinoiscomptroller.gov/constituent-services/local-government/local-government-warehouse/landingpage?code=088%2F060%2F30","Municipal report index")</x:f>
        <x:v>HYPERLINK is not implemented. linkLocation=https://illinoiscomptroller.gov/constituent-services/local-government/local-government-warehouse/landingpage?code=088%2F060%2F30, friendlyName=Municipal report index</x:v>
      </x:c>
      <x:c r="V154" s="24" t="e">
        <x:f>HYPERLINK("https://files.illinoiscomptroller.gov/LocGovTIF/FY2025/08806030/25TIF08806030Lincoln_Trail_1.pdf#page=3","Financial source")</x:f>
        <x:v>HYPERLINK is not implemented. linkLocation=https://files.illinoiscomptroller.gov/LocGovTIF/FY2025/08806030/25TIF08806030Lincoln_Trail_1.pdf#page=3, friendlyName=Financial source</x:v>
      </x:c>
      <x:c r="W154" s="24" t="str">
        <x:v>Municipal TIF annual report, section 3.1, current-year Property Tax Increment. FY 2025</x:v>
      </x:c>
      <x:c r="X154" s="24" t="e">
        <x:f>HYPERLINK("https://www.ilga.gov/ftp/Public%20Acts/104/104-0322.htm","Name source")</x:f>
        <x:v>HYPERLINK is not implemented. linkLocation=https://www.ilga.gov/ftp/Public%20Acts/104/104-0322.htm, friendlyName=Name source</x:v>
      </x:c>
      <x:c r="Y154" s="1" t="n">
        <x:v>1</x:v>
      </x:c>
      <x:c r="Z154" s="1"/>
      <x:c r="AA154" s="1"/>
    </x:row>
    <x:row r="155" ht="54" customHeight="1">
      <x:c r="A155" s="12" t="n">
        <x:v>148</x:v>
      </x:c>
      <x:c r="B155" s="12" t="str">
        <x:v>HB 3662</x:v>
      </x:c>
      <x:c r="C155" s="12" t="str">
        <x:v>104-0322</x:v>
      </x:c>
      <x:c r="D155" s="17" t="d">
        <x:v>2025-08-15T00:00:00.000Z</x:v>
      </x:c>
      <x:c r="E155" s="18" t="str">
        <x:v>Vienna</x:v>
      </x:c>
      <x:c r="F155" s="13" t="str">
        <x:v>Vienna TIF #1</x:v>
      </x:c>
      <x:c r="G155" s="15" t="d">
        <x:v>2008-05-07T00:00:00.000Z</x:v>
      </x:c>
      <x:c r="H155" s="19" t="n">
        <x:v>23</x:v>
      </x:c>
      <x:c r="I155" s="19" t="n">
        <x:v>35</x:v>
      </x:c>
      <x:c r="J155" s="19" t="n">
        <x:v>12</x:v>
      </x:c>
      <x:c r="K155" s="19" t="str">
        <x:v>c(290)</x:v>
      </x:c>
      <x:c r="L155" s="12" t="str">
        <x:v>Fiscal year 2025</x:v>
      </x:c>
      <x:c r="M155" s="23" t="n">
        <x:v>381265</x:v>
      </x:c>
      <x:c r="N155" s="22" t="n">
        <x:f>IF(ISNUMBER(M155),M155*J155,"")</x:f>
        <x:v>4575180</x:v>
      </x:c>
      <x:c r="O155" s="13" t="str">
        <x:v>Not determinable from extension law / TIF receipts alone</x:v>
      </x:c>
      <x:c r="P155" s="13" t="str"/>
      <x:c r="Q155" s="12" t="str"/>
      <x:c r="R155" s="24" t="e">
        <x:f>HYPERLINK("https://www.ilga.gov/ftp/Public%20Acts/104/104-0322.htm","Signed Public Act")</x:f>
        <x:v>HYPERLINK is not implemented. linkLocation=https://www.ilga.gov/ftp/Public%20Acts/104/104-0322.htm, friendlyName=Signed Public Act</x:v>
      </x:c>
      <x:c r="S155" s="24" t="e">
        <x:f>HYPERLINK("https://legiscan.com/IL/bill/HB3662/2025","Signing history")</x:f>
        <x:v>HYPERLINK is not implemented. linkLocation=https://legiscan.com/IL/bill/HB3662/2025, friendlyName=Signing history</x:v>
      </x:c>
      <x:c r="T155" s="24" t="e">
        <x:f>HYPERLINK("https://files.illinoiscomptroller.gov/LocGovTIF/FY2025/04404030/25TIF04404030TIF_1_1.pdf","TIF annual reporting")</x:f>
        <x:v>HYPERLINK is not implemented. linkLocation=https://files.illinoiscomptroller.gov/LocGovTIF/FY2025/04404030/25TIF04404030TIF_1_1.pdf, friendlyName=TIF annual reporting</x:v>
      </x:c>
      <x:c r="U155" s="24" t="e">
        <x:f>HYPERLINK("https://illinoiscomptroller.gov/constituent-services/local-government/local-government-warehouse/landingpage?code=044%2F040%2F30","Municipal report index")</x:f>
        <x:v>HYPERLINK is not implemented. linkLocation=https://illinoiscomptroller.gov/constituent-services/local-government/local-government-warehouse/landingpage?code=044%2F040%2F30, friendlyName=Municipal report index</x:v>
      </x:c>
      <x:c r="V155" s="24" t="e">
        <x:f>HYPERLINK("https://files.illinoiscomptroller.gov/LocGovTIF/FY2025/04404030/25TIF04404030TIF_1_1.pdf#page=3","Financial source")</x:f>
        <x:v>HYPERLINK is not implemented. linkLocation=https://files.illinoiscomptroller.gov/LocGovTIF/FY2025/04404030/25TIF04404030TIF_1_1.pdf#page=3, friendlyName=Financial source</x:v>
      </x:c>
      <x:c r="W155" s="24" t="str">
        <x:v>Municipal TIF annual report, section 3.1, current-year Property Tax Increment. FY 2025</x:v>
      </x:c>
      <x:c r="X155" s="24" t="e">
        <x:f>HYPERLINK("https://www.ilga.gov/ftp/Public%20Acts/104/104-0322.htm","Name source")</x:f>
        <x:v>HYPERLINK is not implemented. linkLocation=https://www.ilga.gov/ftp/Public%20Acts/104/104-0322.htm, friendlyName=Name source</x:v>
      </x:c>
      <x:c r="Y155" s="1" t="n">
        <x:v>1</x:v>
      </x:c>
      <x:c r="Z155" s="1"/>
      <x:c r="AA155" s="1"/>
    </x:row>
    <x:row r="156" ht="54" customHeight="1">
      <x:c r="A156" s="12" t="n">
        <x:v>149</x:v>
      </x:c>
      <x:c r="B156" s="12" t="str">
        <x:v>HB 3662</x:v>
      </x:c>
      <x:c r="C156" s="12" t="str">
        <x:v>104-0322</x:v>
      </x:c>
      <x:c r="D156" s="17" t="d">
        <x:v>2025-08-15T00:00:00.000Z</x:v>
      </x:c>
      <x:c r="E156" s="18" t="str">
        <x:v>Lyons</x:v>
      </x:c>
      <x:c r="F156" s="13" t="str">
        <x:v>Village of Lyons TIF District #1 (North Ogden)</x:v>
      </x:c>
      <x:c r="G156" s="15" t="d">
        <x:v>2000-08-08T00:00:00.000Z</x:v>
      </x:c>
      <x:c r="H156" s="19" t="n">
        <x:v>23</x:v>
      </x:c>
      <x:c r="I156" s="19" t="n">
        <x:v>35</x:v>
      </x:c>
      <x:c r="J156" s="19" t="n">
        <x:v>12</x:v>
      </x:c>
      <x:c r="K156" s="19" t="str">
        <x:v>c(291)</x:v>
      </x:c>
      <x:c r="L156" s="12" t="str">
        <x:v>Tax year 2024</x:v>
      </x:c>
      <x:c r="M156" s="23" t="n">
        <x:v>422112.74</x:v>
      </x:c>
      <x:c r="N156" s="22" t="n">
        <x:f>IF(ISNUMBER(M156),M156*J156,"")</x:f>
        <x:v>5065352.88</x:v>
      </x:c>
      <x:c r="O156" s="13" t="str">
        <x:v>Not determinable from extension law / TIF receipts alone</x:v>
      </x:c>
      <x:c r="P156" s="13" t="str"/>
      <x:c r="Q156" s="12" t="str"/>
      <x:c r="R156" s="24" t="e">
        <x:f>HYPERLINK("https://www.ilga.gov/ftp/Public%20Acts/104/104-0322.htm","Signed Public Act")</x:f>
        <x:v>HYPERLINK is not implemented. linkLocation=https://www.ilga.gov/ftp/Public%20Acts/104/104-0322.htm, friendlyName=Signed Public Act</x:v>
      </x:c>
      <x:c r="S156" s="24" t="e">
        <x:f>HYPERLINK("https://legiscan.com/IL/bill/HB3662/2025","Signing history")</x:f>
        <x:v>HYPERLINK is not implemented. linkLocation=https://legiscan.com/IL/bill/HB3662/2025, friendlyName=Signing history</x:v>
      </x:c>
      <x:c r="T156" s="24" t="e">
        <x:f>HYPERLINK("https://files.illinoiscomptroller.gov/LocGovTIF/FY2024/01632532/24TIF01632532North_Ogden_1.pdf","TIF annual reporting")</x:f>
        <x:v>HYPERLINK is not implemented. linkLocation=https://files.illinoiscomptroller.gov/LocGovTIF/FY2024/01632532/24TIF01632532North_Ogden_1.pdf, friendlyName=TIF annual reporting</x:v>
      </x:c>
      <x:c r="U156" s="24" t="e">
        <x:f>HYPERLINK("https://illinoiscomptroller.gov/constituent-services/local-government/local-government-warehouse/landingpage?code=016%2F325%2F32","Municipal report index")</x:f>
        <x:v>HYPERLINK is not implemented. linkLocation=https://illinoiscomptroller.gov/constituent-services/local-government/local-government-warehouse/landingpage?code=016%2F325%2F32, friendlyName=Municipal report index</x:v>
      </x:c>
      <x:c r="V156" s="24" t="e">
        <x:f>HYPERLINK("https://news.wttw.com/sites/default/files/article/file-attachments/2024-tif-report.pdf#page=54","Financial source")</x:f>
        <x:v>HYPERLINK is not implemented. linkLocation=https://news.wttw.com/sites/default/files/article/file-attachments/2024-tif-report.pdf#page=54, friendlyName=Financial source</x:v>
      </x:c>
      <x:c r="W156" s="24" t="str">
        <x:v>Cook County Clerk 2024 TIF report; 03-0720-500; Lyons - 1; PDF page 54</x:v>
      </x:c>
      <x:c r="X156" s="24" t="e">
        <x:f>HYPERLINK("https://www.ilga.gov/ftp/Public%20Acts/104/104-0322.htm","Name source")</x:f>
        <x:v>HYPERLINK is not implemented. linkLocation=https://www.ilga.gov/ftp/Public%20Acts/104/104-0322.htm, friendlyName=Name source</x:v>
      </x:c>
      <x:c r="Y156" s="1" t="n">
        <x:v>1</x:v>
      </x:c>
      <x:c r="Z156" s="1"/>
      <x:c r="AA156" s="1"/>
    </x:row>
    <x:row r="157" ht="54" customHeight="1">
      <x:c r="A157" s="12" t="n">
        <x:v>150</x:v>
      </x:c>
      <x:c r="B157" s="12" t="str">
        <x:v>HB 3662</x:v>
      </x:c>
      <x:c r="C157" s="12" t="str">
        <x:v>104-0322</x:v>
      </x:c>
      <x:c r="D157" s="17" t="d">
        <x:v>2025-08-15T00:00:00.000Z</x:v>
      </x:c>
      <x:c r="E157" s="18" t="str">
        <x:v>Lyons</x:v>
      </x:c>
      <x:c r="F157" s="13" t="str">
        <x:v>Village of Lyons TIF District #2 (South Ogden/Joliet)</x:v>
      </x:c>
      <x:c r="G157" s="15" t="d">
        <x:v>2000-08-08T00:00:00.000Z</x:v>
      </x:c>
      <x:c r="H157" s="19" t="n">
        <x:v>23</x:v>
      </x:c>
      <x:c r="I157" s="19" t="n">
        <x:v>35</x:v>
      </x:c>
      <x:c r="J157" s="19" t="n">
        <x:v>12</x:v>
      </x:c>
      <x:c r="K157" s="19" t="str">
        <x:v>c(292)</x:v>
      </x:c>
      <x:c r="L157" s="12" t="str">
        <x:v>Tax year 2024</x:v>
      </x:c>
      <x:c r="M157" s="23" t="n">
        <x:v>157904.29</x:v>
      </x:c>
      <x:c r="N157" s="22" t="n">
        <x:f>IF(ISNUMBER(M157),M157*J157,"")</x:f>
        <x:v>1894851.48</x:v>
      </x:c>
      <x:c r="O157" s="13" t="str">
        <x:v>Not determinable from extension law / TIF receipts alone</x:v>
      </x:c>
      <x:c r="P157" s="13" t="str"/>
      <x:c r="Q157" s="12" t="str"/>
      <x:c r="R157" s="24" t="e">
        <x:f>HYPERLINK("https://www.ilga.gov/ftp/Public%20Acts/104/104-0322.htm","Signed Public Act")</x:f>
        <x:v>HYPERLINK is not implemented. linkLocation=https://www.ilga.gov/ftp/Public%20Acts/104/104-0322.htm, friendlyName=Signed Public Act</x:v>
      </x:c>
      <x:c r="S157" s="24" t="e">
        <x:f>HYPERLINK("https://legiscan.com/IL/bill/HB3662/2025","Signing history")</x:f>
        <x:v>HYPERLINK is not implemented. linkLocation=https://legiscan.com/IL/bill/HB3662/2025, friendlyName=Signing history</x:v>
      </x:c>
      <x:c r="T157" s="24" t="e">
        <x:f>HYPERLINK("https://files.illinoiscomptroller.gov/LocGovTIF/FY2024/01632532/24TIF01632532South_Ogdt_Avenue_1.pdf","TIF annual reporting")</x:f>
        <x:v>HYPERLINK is not implemented. linkLocation=https://files.illinoiscomptroller.gov/LocGovTIF/FY2024/01632532/24TIF01632532South_Ogdt_Avenue_1.pdf, friendlyName=TIF annual reporting</x:v>
      </x:c>
      <x:c r="U157" s="24" t="e">
        <x:f>HYPERLINK("https://illinoiscomptroller.gov/constituent-services/local-government/local-government-warehouse/landingpage?code=016%2F325%2F32","Municipal report index")</x:f>
        <x:v>HYPERLINK is not implemented. linkLocation=https://illinoiscomptroller.gov/constituent-services/local-government/local-government-warehouse/landingpage?code=016%2F325%2F32, friendlyName=Municipal report index</x:v>
      </x:c>
      <x:c r="V157" s="24" t="e">
        <x:f>HYPERLINK("https://news.wttw.com/sites/default/files/article/file-attachments/2024-tif-report.pdf#page=54","Financial source")</x:f>
        <x:v>HYPERLINK is not implemented. linkLocation=https://news.wttw.com/sites/default/files/article/file-attachments/2024-tif-report.pdf#page=54, friendlyName=Financial source</x:v>
      </x:c>
      <x:c r="W157" s="24" t="str">
        <x:v>Cook County Clerk 2024 TIF report; 03-0720-501; Lyons - 2 (South / Ogden / Joliet); PDF page 54</x:v>
      </x:c>
      <x:c r="X157" s="24" t="e">
        <x:f>HYPERLINK("https://www.ilga.gov/ftp/Public%20Acts/104/104-0322.htm","Name source")</x:f>
        <x:v>HYPERLINK is not implemented. linkLocation=https://www.ilga.gov/ftp/Public%20Acts/104/104-0322.htm, friendlyName=Name source</x:v>
      </x:c>
      <x:c r="Y157" s="1" t="n">
        <x:v>1</x:v>
      </x:c>
      <x:c r="Z157" s="1"/>
      <x:c r="AA157" s="1"/>
    </x:row>
    <x:row r="158" ht="54" customHeight="1">
      <x:c r="A158" s="12" t="n">
        <x:v>151</x:v>
      </x:c>
      <x:c r="B158" s="12" t="str">
        <x:v>HB 3662</x:v>
      </x:c>
      <x:c r="C158" s="12" t="str">
        <x:v>104-0322</x:v>
      </x:c>
      <x:c r="D158" s="17" t="d">
        <x:v>2025-08-15T00:00:00.000Z</x:v>
      </x:c>
      <x:c r="E158" s="18" t="str">
        <x:v>Bridgeview</x:v>
      </x:c>
      <x:c r="F158" s="13" t="str">
        <x:v>Bridgeview Harlem Avenue TIF District #1</x:v>
      </x:c>
      <x:c r="G158" s="15" t="d">
        <x:v>2002-03-20T00:00:00.000Z</x:v>
      </x:c>
      <x:c r="H158" s="19" t="n">
        <x:v>23</x:v>
      </x:c>
      <x:c r="I158" s="19" t="n">
        <x:v>35</x:v>
      </x:c>
      <x:c r="J158" s="19" t="n">
        <x:v>12</x:v>
      </x:c>
      <x:c r="K158" s="19" t="str">
        <x:v>c(293)</x:v>
      </x:c>
      <x:c r="L158" s="12" t="str">
        <x:v>Tax year 2024</x:v>
      </x:c>
      <x:c r="M158" s="23" t="n">
        <x:v>448460.23</x:v>
      </x:c>
      <x:c r="N158" s="22" t="n">
        <x:f>IF(ISNUMBER(M158),M158*J158,"")</x:f>
        <x:v>5381522.76</x:v>
      </x:c>
      <x:c r="O158" s="13" t="str">
        <x:v>Not determinable from extension law / TIF receipts alone</x:v>
      </x:c>
      <x:c r="P158" s="13" t="str"/>
      <x:c r="Q158" s="12" t="str"/>
      <x:c r="R158" s="24" t="e">
        <x:f>HYPERLINK("https://www.ilga.gov/ftp/Public%20Acts/104/104-0322.htm","Signed Public Act")</x:f>
        <x:v>HYPERLINK is not implemented. linkLocation=https://www.ilga.gov/ftp/Public%20Acts/104/104-0322.htm, friendlyName=Signed Public Act</x:v>
      </x:c>
      <x:c r="S158" s="24" t="e">
        <x:f>HYPERLINK("https://legiscan.com/IL/bill/HB3662/2025","Signing history")</x:f>
        <x:v>HYPERLINK is not implemented. linkLocation=https://legiscan.com/IL/bill/HB3662/2025, friendlyName=Signing history</x:v>
      </x:c>
      <x:c r="T158" s="24" t="e">
        <x:f>HYPERLINK("https://files.illinoiscomptroller.gov/LocGovTIF/FY2024/01606032/24TIF01606032Harlem_Ave_TIF_1_1.pdf","TIF annual reporting")</x:f>
        <x:v>HYPERLINK is not implemented. linkLocation=https://files.illinoiscomptroller.gov/LocGovTIF/FY2024/01606032/24TIF01606032Harlem_Ave_TIF_1_1.pdf, friendlyName=TIF annual reporting</x:v>
      </x:c>
      <x:c r="U158" s="24" t="e">
        <x:f>HYPERLINK("https://illinoiscomptroller.gov/constituent-services/local-government/local-government-warehouse/landingpage?code=016%2F060%2F32","Municipal report index")</x:f>
        <x:v>HYPERLINK is not implemented. linkLocation=https://illinoiscomptroller.gov/constituent-services/local-government/local-government-warehouse/landingpage?code=016%2F060%2F32, friendlyName=Municipal report index</x:v>
      </x:c>
      <x:c r="V158" s="24" t="e">
        <x:f>HYPERLINK("https://news.wttw.com/sites/default/files/article/file-attachments/2024-tif-report.pdf#page=36","Financial source")</x:f>
        <x:v>HYPERLINK is not implemented. linkLocation=https://news.wttw.com/sites/default/files/article/file-attachments/2024-tif-report.pdf#page=36, friendlyName=Financial source</x:v>
      </x:c>
      <x:c r="W158" s="24" t="str">
        <x:v>Cook County Clerk 2024 TIF report; 03-0120-501; Bridgeview - Harlem Ave 1; PDF page 36</x:v>
      </x:c>
      <x:c r="X158" s="24" t="e">
        <x:f>HYPERLINK("https://www.ilga.gov/ftp/Public%20Acts/104/104-0322.htm","Name source")</x:f>
        <x:v>HYPERLINK is not implemented. linkLocation=https://www.ilga.gov/ftp/Public%20Acts/104/104-0322.htm, friendlyName=Name source</x:v>
      </x:c>
      <x:c r="Y158" s="1" t="n">
        <x:v>1</x:v>
      </x:c>
      <x:c r="Z158" s="1"/>
      <x:c r="AA158" s="1"/>
    </x:row>
    <x:row r="159" ht="54" customHeight="1">
      <x:c r="A159" s="12" t="n">
        <x:v>152</x:v>
      </x:c>
      <x:c r="B159" s="12" t="str">
        <x:v>SB 642</x:v>
      </x:c>
      <x:c r="C159" s="12" t="str">
        <x:v>104-0452</x:v>
      </x:c>
      <x:c r="D159" s="17" t="d">
        <x:v>2025-12-12T00:00:00.000Z</x:v>
      </x:c>
      <x:c r="E159" s="18" t="str">
        <x:v>Chicago</x:v>
      </x:c>
      <x:c r="F159" s="13" t="str">
        <x:v>Roseland/Michigan redevelopment project area</x:v>
      </x:c>
      <x:c r="G159" s="15" t="d">
        <x:v>2002-01-16T00:00:00.000Z</x:v>
      </x:c>
      <x:c r="H159" s="19" t="n">
        <x:v>23</x:v>
      </x:c>
      <x:c r="I159" s="19" t="n">
        <x:v>35</x:v>
      </x:c>
      <x:c r="J159" s="19" t="n">
        <x:v>12</x:v>
      </x:c>
      <x:c r="K159" s="19" t="str">
        <x:v>c(284)</x:v>
      </x:c>
      <x:c r="L159" s="12" t="str">
        <x:v>Tax year 2024</x:v>
      </x:c>
      <x:c r="M159" s="23" t="n">
        <x:v>2197235.43</x:v>
      </x:c>
      <x:c r="N159" s="22" t="n">
        <x:f>IF(ISNUMBER(M159),M159*J159,"")</x:f>
        <x:v>26366825.160000004</x:v>
      </x:c>
      <x:c r="O159" s="13" t="str">
        <x:v>Not determinable from extension law / TIF receipts alone</x:v>
      </x:c>
      <x:c r="P159" s="13" t="str"/>
      <x:c r="Q159" s="12" t="str"/>
      <x:c r="R159" s="24" t="e">
        <x:f>HYPERLINK("https://www.ilga.gov/ftp/Public%20Acts/104/104-0452.htm","Signed Public Act")</x:f>
        <x:v>HYPERLINK is not implemented. linkLocation=https://www.ilga.gov/ftp/Public%20Acts/104/104-0452.htm, friendlyName=Signed Public Act</x:v>
      </x:c>
      <x:c r="S159" s="24" t="e">
        <x:f>HYPERLINK("https://legiscan.com/IL/bill/SB642/2025","Signing history")</x:f>
        <x:v>HYPERLINK is not implemented. linkLocation=https://legiscan.com/IL/bill/SB642/2025, friendlyName=Signing history</x:v>
      </x:c>
      <x:c r="T159"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59"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59" s="24" t="e">
        <x:f>HYPERLINK("https://news.wttw.com/sites/default/files/article/file-attachments/2024-tif-report.pdf#page=41","Financial source")</x:f>
        <x:v>HYPERLINK is not implemented. linkLocation=https://news.wttw.com/sites/default/files/article/file-attachments/2024-tif-report.pdf#page=41, friendlyName=Financial source</x:v>
      </x:c>
      <x:c r="W159" s="24" t="str">
        <x:v>Cook County Clerk 2024 TIF report; 03-0210-612; Chicago - Roseland / Michigan; PDF page 41</x:v>
      </x:c>
      <x:c r="X159" s="24" t="e">
        <x:f>HYPERLINK("https://www.ilga.gov/ftp/Public%20Acts/104/104-0452.htm","Name source")</x:f>
        <x:v>HYPERLINK is not implemented. linkLocation=https://www.ilga.gov/ftp/Public%20Acts/104/104-0452.htm, friendlyName=Name source</x:v>
      </x:c>
      <x:c r="Y159" s="1" t="n">
        <x:v>1</x:v>
      </x:c>
      <x:c r="Z159" s="1"/>
      <x:c r="AA159" s="1"/>
    </x:row>
    <x:row r="160" ht="54" customHeight="1">
      <x:c r="A160" s="12" t="n">
        <x:v>153</x:v>
      </x:c>
      <x:c r="B160" s="12" t="str">
        <x:v>SB 642</x:v>
      </x:c>
      <x:c r="C160" s="12" t="str">
        <x:v>104-0452</x:v>
      </x:c>
      <x:c r="D160" s="17" t="d">
        <x:v>2025-12-12T00:00:00.000Z</x:v>
      </x:c>
      <x:c r="E160" s="18" t="str">
        <x:v>Chicago</x:v>
      </x:c>
      <x:c r="F160" s="13" t="str">
        <x:v>Chicago/Central Park redevelopment project area</x:v>
      </x:c>
      <x:c r="G160" s="15" t="d">
        <x:v>2002-02-27T00:00:00.000Z</x:v>
      </x:c>
      <x:c r="H160" s="19" t="n">
        <x:v>23</x:v>
      </x:c>
      <x:c r="I160" s="19" t="n">
        <x:v>35</x:v>
      </x:c>
      <x:c r="J160" s="19" t="n">
        <x:v>12</x:v>
      </x:c>
      <x:c r="K160" s="19" t="str">
        <x:v>c(285)</x:v>
      </x:c>
      <x:c r="L160" s="12" t="str">
        <x:v>Tax year 2024</x:v>
      </x:c>
      <x:c r="M160" s="23" t="n">
        <x:v>16281272.39</x:v>
      </x:c>
      <x:c r="N160" s="22" t="n">
        <x:f>IF(ISNUMBER(M160),M160*J160,"")</x:f>
        <x:v>195375268.68</x:v>
      </x:c>
      <x:c r="O160" s="13" t="str">
        <x:v>Not determinable from extension law / TIF receipts alone</x:v>
      </x:c>
      <x:c r="P160" s="13" t="str"/>
      <x:c r="Q160" s="12" t="str"/>
      <x:c r="R160" s="24" t="e">
        <x:f>HYPERLINK("https://www.ilga.gov/ftp/Public%20Acts/104/104-0452.htm","Signed Public Act")</x:f>
        <x:v>HYPERLINK is not implemented. linkLocation=https://www.ilga.gov/ftp/Public%20Acts/104/104-0452.htm, friendlyName=Signed Public Act</x:v>
      </x:c>
      <x:c r="S160" s="24" t="e">
        <x:f>HYPERLINK("https://legiscan.com/IL/bill/SB642/2025","Signing history")</x:f>
        <x:v>HYPERLINK is not implemented. linkLocation=https://legiscan.com/IL/bill/SB642/2025, friendlyName=Signing history</x:v>
      </x:c>
      <x:c r="T160"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60"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60" s="24" t="e">
        <x:f>HYPERLINK("https://news.wttw.com/sites/default/files/article/file-attachments/2024-tif-report.pdf#page=42","Financial source")</x:f>
        <x:v>HYPERLINK is not implemented. linkLocation=https://news.wttw.com/sites/default/files/article/file-attachments/2024-tif-report.pdf#page=42, friendlyName=Financial source</x:v>
      </x:c>
      <x:c r="W160" s="24" t="str">
        <x:v>Cook County Clerk 2024 TIF report; 03-0210-630; Chicago - Chicago / Central Park; PDF page 42</x:v>
      </x:c>
      <x:c r="X160" s="24" t="e">
        <x:f>HYPERLINK("https://www.ilga.gov/ftp/Public%20Acts/104/104-0452.htm","Name source")</x:f>
        <x:v>HYPERLINK is not implemented. linkLocation=https://www.ilga.gov/ftp/Public%20Acts/104/104-0452.htm, friendlyName=Name source</x:v>
      </x:c>
      <x:c r="Y160" s="1" t="n">
        <x:v>1</x:v>
      </x:c>
      <x:c r="Z160" s="1"/>
      <x:c r="AA160" s="1"/>
    </x:row>
    <x:row r="161" ht="54" customHeight="1">
      <x:c r="A161" s="12" t="n">
        <x:v>154</x:v>
      </x:c>
      <x:c r="B161" s="12" t="str">
        <x:v>SB 642</x:v>
      </x:c>
      <x:c r="C161" s="12" t="str">
        <x:v>104-0452</x:v>
      </x:c>
      <x:c r="D161" s="17" t="d">
        <x:v>2025-12-12T00:00:00.000Z</x:v>
      </x:c>
      <x:c r="E161" s="18" t="str">
        <x:v>Chicago</x:v>
      </x:c>
      <x:c r="F161" s="13" t="str">
        <x:v>Avalon Park/South Shore redevelopment project area</x:v>
      </x:c>
      <x:c r="G161" s="15" t="d">
        <x:v>2002-07-31T00:00:00.000Z</x:v>
      </x:c>
      <x:c r="H161" s="19" t="n">
        <x:v>23</x:v>
      </x:c>
      <x:c r="I161" s="19" t="n">
        <x:v>35</x:v>
      </x:c>
      <x:c r="J161" s="19" t="n">
        <x:v>12</x:v>
      </x:c>
      <x:c r="K161" s="19" t="str">
        <x:v>c(286)</x:v>
      </x:c>
      <x:c r="L161" s="12" t="str">
        <x:v>Tax year 2024</x:v>
      </x:c>
      <x:c r="M161" s="23" t="n">
        <x:v>1820785.6</x:v>
      </x:c>
      <x:c r="N161" s="22" t="n">
        <x:f>IF(ISNUMBER(M161),M161*J161,"")</x:f>
        <x:v>21849427.200000003</x:v>
      </x:c>
      <x:c r="O161" s="13" t="str">
        <x:v>Not determinable from extension law / TIF receipts alone</x:v>
      </x:c>
      <x:c r="P161" s="13" t="str"/>
      <x:c r="Q161" s="12" t="str"/>
      <x:c r="R161" s="24" t="e">
        <x:f>HYPERLINK("https://www.ilga.gov/ftp/Public%20Acts/104/104-0452.htm","Signed Public Act")</x:f>
        <x:v>HYPERLINK is not implemented. linkLocation=https://www.ilga.gov/ftp/Public%20Acts/104/104-0452.htm, friendlyName=Signed Public Act</x:v>
      </x:c>
      <x:c r="S161" s="24" t="e">
        <x:f>HYPERLINK("https://legiscan.com/IL/bill/SB642/2025","Signing history")</x:f>
        <x:v>HYPERLINK is not implemented. linkLocation=https://legiscan.com/IL/bill/SB642/2025, friendlyName=Signing history</x:v>
      </x:c>
      <x:c r="T161"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61"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61" s="24" t="e">
        <x:f>HYPERLINK("https://news.wttw.com/sites/default/files/article/file-attachments/2024-tif-report.pdf#page=41","Financial source")</x:f>
        <x:v>HYPERLINK is not implemented. linkLocation=https://news.wttw.com/sites/default/files/article/file-attachments/2024-tif-report.pdf#page=41, friendlyName=Financial source</x:v>
      </x:c>
      <x:c r="W161" s="24" t="str">
        <x:v>Cook County Clerk 2024 TIF report; 03-0210-613; Chicago - Avalon Park / South Shore; PDF page 41</x:v>
      </x:c>
      <x:c r="X161" s="24" t="e">
        <x:f>HYPERLINK("https://www.ilga.gov/ftp/Public%20Acts/104/104-0452.htm","Name source")</x:f>
        <x:v>HYPERLINK is not implemented. linkLocation=https://www.ilga.gov/ftp/Public%20Acts/104/104-0452.htm, friendlyName=Name source</x:v>
      </x:c>
      <x:c r="Y161" s="1" t="n">
        <x:v>1</x:v>
      </x:c>
      <x:c r="Z161" s="1"/>
      <x:c r="AA161" s="1"/>
    </x:row>
    <x:row r="162" ht="54" customHeight="1">
      <x:c r="A162" s="12" t="n">
        <x:v>155</x:v>
      </x:c>
      <x:c r="B162" s="12" t="str">
        <x:v>SB 642</x:v>
      </x:c>
      <x:c r="C162" s="12" t="str">
        <x:v>104-0452</x:v>
      </x:c>
      <x:c r="D162" s="17" t="d">
        <x:v>2025-12-12T00:00:00.000Z</x:v>
      </x:c>
      <x:c r="E162" s="18" t="str">
        <x:v>Chicago</x:v>
      </x:c>
      <x:c r="F162" s="13" t="str">
        <x:v>Commercial Avenue redevelopment project area</x:v>
      </x:c>
      <x:c r="G162" s="15" t="d">
        <x:v>2002-11-13T00:00:00.000Z</x:v>
      </x:c>
      <x:c r="H162" s="19" t="n">
        <x:v>23</x:v>
      </x:c>
      <x:c r="I162" s="19" t="n">
        <x:v>35</x:v>
      </x:c>
      <x:c r="J162" s="19" t="n">
        <x:v>12</x:v>
      </x:c>
      <x:c r="K162" s="19" t="str">
        <x:v>c(287)</x:v>
      </x:c>
      <x:c r="L162" s="12" t="str">
        <x:v>Tax year 2024</x:v>
      </x:c>
      <x:c r="M162" s="23" t="n">
        <x:v>3391536.23</x:v>
      </x:c>
      <x:c r="N162" s="22" t="n">
        <x:f>IF(ISNUMBER(M162),M162*J162,"")</x:f>
        <x:v>40698434.76</x:v>
      </x:c>
      <x:c r="O162" s="13" t="str">
        <x:v>Not determinable from extension law / TIF receipts alone</x:v>
      </x:c>
      <x:c r="P162" s="13" t="str"/>
      <x:c r="Q162" s="12" t="str"/>
      <x:c r="R162" s="24" t="e">
        <x:f>HYPERLINK("https://www.ilga.gov/ftp/Public%20Acts/104/104-0452.htm","Signed Public Act")</x:f>
        <x:v>HYPERLINK is not implemented. linkLocation=https://www.ilga.gov/ftp/Public%20Acts/104/104-0452.htm, friendlyName=Signed Public Act</x:v>
      </x:c>
      <x:c r="S162" s="24" t="e">
        <x:f>HYPERLINK("https://legiscan.com/IL/bill/SB642/2025","Signing history")</x:f>
        <x:v>HYPERLINK is not implemented. linkLocation=https://legiscan.com/IL/bill/SB642/2025, friendlyName=Signing history</x:v>
      </x:c>
      <x:c r="T162" s="24" t="e">
        <x:f>HYPERLINK("https://www.chicago.gov/city/en/depts/dcd/supp_info/tif-district-annual-reports-2004-present.html","TIF annual reporting")</x:f>
        <x:v>HYPERLINK is not implemented. linkLocation=https://www.chicago.gov/city/en/depts/dcd/supp_info/tif-district-annual-reports-2004-present.html, friendlyName=TIF annual reporting</x:v>
      </x:c>
      <x:c r="U162" s="24" t="e">
        <x:f>HYPERLINK("https://illinoiscomptroller.gov/constituent-services/local-government/local-government-warehouse/landingpage?code=016%2F620%2F30","Municipal report index")</x:f>
        <x:v>HYPERLINK is not implemented. linkLocation=https://illinoiscomptroller.gov/constituent-services/local-government/local-government-warehouse/landingpage?code=016%2F620%2F30, friendlyName=Municipal report index</x:v>
      </x:c>
      <x:c r="V162" s="24" t="e">
        <x:f>HYPERLINK("https://news.wttw.com/sites/default/files/article/file-attachments/2024-tif-report.pdf#page=41","Financial source")</x:f>
        <x:v>HYPERLINK is not implemented. linkLocation=https://news.wttw.com/sites/default/files/article/file-attachments/2024-tif-report.pdf#page=41, friendlyName=Financial source</x:v>
      </x:c>
      <x:c r="W162" s="24" t="str">
        <x:v>Cook County Clerk 2024 TIF report; 03-0210-618; Chicago - Commercial Ave; PDF page 41</x:v>
      </x:c>
      <x:c r="X162" s="24" t="e">
        <x:f>HYPERLINK("https://www.ilga.gov/ftp/Public%20Acts/104/104-0452.htm","Name source")</x:f>
        <x:v>HYPERLINK is not implemented. linkLocation=https://www.ilga.gov/ftp/Public%20Acts/104/104-0452.htm, friendlyName=Name source</x:v>
      </x:c>
      <x:c r="Y162" s="1" t="n">
        <x:v>1</x:v>
      </x:c>
      <x:c r="Z162" s="1"/>
      <x:c r="AA162" s="1"/>
    </x:row>
    <x:row r="163" ht="54" customHeight="1">
      <x:c r="A163" s="12" t="n">
        <x:v>156</x:v>
      </x:c>
      <x:c r="B163" s="12" t="str">
        <x:v>SB 642</x:v>
      </x:c>
      <x:c r="C163" s="12" t="str">
        <x:v>104-0452</x:v>
      </x:c>
      <x:c r="D163" s="17" t="d">
        <x:v>2025-12-12T00:00:00.000Z</x:v>
      </x:c>
      <x:c r="E163" s="18" t="str">
        <x:v>Millstadt</x:v>
      </x:c>
      <x:c r="F163" s="13" t="str">
        <x:v>Millstadt TIF District #1</x:v>
      </x:c>
      <x:c r="G163" s="15" t="d">
        <x:v>2003-12-01T00:00:00.000Z</x:v>
      </x:c>
      <x:c r="H163" s="19" t="n">
        <x:v>23</x:v>
      </x:c>
      <x:c r="I163" s="19" t="n">
        <x:v>35</x:v>
      </x:c>
      <x:c r="J163" s="19" t="n">
        <x:v>12</x:v>
      </x:c>
      <x:c r="K163" s="19" t="str">
        <x:v>c(288)</x:v>
      </x:c>
      <x:c r="L163" s="12" t="str">
        <x:v>Fiscal year 2025</x:v>
      </x:c>
      <x:c r="M163" s="23" t="n">
        <x:v>708324</x:v>
      </x:c>
      <x:c r="N163" s="22" t="n">
        <x:f>IF(ISNUMBER(M163),M163*J163,"")</x:f>
        <x:v>8499888</x:v>
      </x:c>
      <x:c r="O163" s="13" t="str">
        <x:v>Not determinable from extension law / TIF receipts alone</x:v>
      </x:c>
      <x:c r="P163" s="13" t="str"/>
      <x:c r="Q163" s="12" t="str"/>
      <x:c r="R163" s="24" t="e">
        <x:f>HYPERLINK("https://www.ilga.gov/ftp/Public%20Acts/104/104-0452.htm","Signed Public Act")</x:f>
        <x:v>HYPERLINK is not implemented. linkLocation=https://www.ilga.gov/ftp/Public%20Acts/104/104-0452.htm, friendlyName=Signed Public Act</x:v>
      </x:c>
      <x:c r="S163" s="24" t="e">
        <x:f>HYPERLINK("https://legiscan.com/IL/bill/SB642/2025","Signing history")</x:f>
        <x:v>HYPERLINK is not implemented. linkLocation=https://legiscan.com/IL/bill/SB642/2025, friendlyName=Signing history</x:v>
      </x:c>
      <x:c r="T163" s="24" t="e">
        <x:f>HYPERLINK("https://files.illinoiscomptroller.gov/LocGovTIF/FY2025/08809532/25TIF08809532TIF_1_1.pdf","TIF annual reporting")</x:f>
        <x:v>HYPERLINK is not implemented. linkLocation=https://files.illinoiscomptroller.gov/LocGovTIF/FY2025/08809532/25TIF08809532TIF_1_1.pdf, friendlyName=TIF annual reporting</x:v>
      </x:c>
      <x:c r="U163" s="24" t="e">
        <x:f>HYPERLINK("https://illinoiscomptroller.gov/constituent-services/local-government/local-government-warehouse/landingpage?code=088%2F095%2F32","Municipal report index")</x:f>
        <x:v>HYPERLINK is not implemented. linkLocation=https://illinoiscomptroller.gov/constituent-services/local-government/local-government-warehouse/landingpage?code=088%2F095%2F32, friendlyName=Municipal report index</x:v>
      </x:c>
      <x:c r="V163" s="24" t="e">
        <x:f>HYPERLINK("https://files.illinoiscomptroller.gov/LocGovTIF/FY2025/08809532/25TIF08809532TIF_1_1.pdf#page=3","Financial source")</x:f>
        <x:v>HYPERLINK is not implemented. linkLocation=https://files.illinoiscomptroller.gov/LocGovTIF/FY2025/08809532/25TIF08809532TIF_1_1.pdf#page=3, friendlyName=Financial source</x:v>
      </x:c>
      <x:c r="W163" s="24" t="str">
        <x:v>Municipal TIF annual report, section 3.1, current-year Property Tax Increment. FY 2025</x:v>
      </x:c>
      <x:c r="X163" s="24" t="e">
        <x:f>HYPERLINK("https://www.ilga.gov/ftp/Public%20Acts/104/104-0452.htm","Name source")</x:f>
        <x:v>HYPERLINK is not implemented. linkLocation=https://www.ilga.gov/ftp/Public%20Acts/104/104-0452.htm, friendlyName=Name source</x:v>
      </x:c>
      <x:c r="Y163" s="1" t="n">
        <x:v>1</x:v>
      </x:c>
      <x:c r="Z163" s="1"/>
      <x:c r="AA163" s="1"/>
    </x:row>
    <x:row r="164" ht="54" customHeight="1">
      <x:c r="A164" s="12" t="n">
        <x:v>157</x:v>
      </x:c>
      <x:c r="B164" s="12" t="str">
        <x:v>SB 642</x:v>
      </x:c>
      <x:c r="C164" s="12" t="str">
        <x:v>104-0452</x:v>
      </x:c>
      <x:c r="D164" s="17" t="d">
        <x:v>2025-12-12T00:00:00.000Z</x:v>
      </x:c>
      <x:c r="E164" s="18" t="str">
        <x:v>Mattoon</x:v>
      </x:c>
      <x:c r="F164" s="13" t="str">
        <x:v>Midtown Mattoon redevelopment project area</x:v>
      </x:c>
      <x:c r="G164" s="15" t="d">
        <x:v>2003-12-16T00:00:00.000Z</x:v>
      </x:c>
      <x:c r="H164" s="19" t="n">
        <x:v>23</x:v>
      </x:c>
      <x:c r="I164" s="19" t="n">
        <x:v>35</x:v>
      </x:c>
      <x:c r="J164" s="19" t="n">
        <x:v>12</x:v>
      </x:c>
      <x:c r="K164" s="19" t="str">
        <x:v>c(289)</x:v>
      </x:c>
      <x:c r="L164" s="12" t="str">
        <x:v>Fiscal year 2025</x:v>
      </x:c>
      <x:c r="M164" s="23" t="n">
        <x:v>1059119</x:v>
      </x:c>
      <x:c r="N164" s="22" t="n">
        <x:f>IF(ISNUMBER(M164),M164*J164,"")</x:f>
        <x:v>12709428</x:v>
      </x:c>
      <x:c r="O164" s="13" t="str">
        <x:v>Not determinable from extension law / TIF receipts alone</x:v>
      </x:c>
      <x:c r="P164" s="13" t="str"/>
      <x:c r="Q164" s="12" t="str"/>
      <x:c r="R164" s="24" t="e">
        <x:f>HYPERLINK("https://www.ilga.gov/ftp/Public%20Acts/104/104-0452.htm","Signed Public Act")</x:f>
        <x:v>HYPERLINK is not implemented. linkLocation=https://www.ilga.gov/ftp/Public%20Acts/104/104-0452.htm, friendlyName=Signed Public Act</x:v>
      </x:c>
      <x:c r="S164" s="24" t="e">
        <x:f>HYPERLINK("https://legiscan.com/IL/bill/SB642/2025","Signing history")</x:f>
        <x:v>HYPERLINK is not implemented. linkLocation=https://legiscan.com/IL/bill/SB642/2025, friendlyName=Signing history</x:v>
      </x:c>
      <x:c r="T164" s="24" t="e">
        <x:f>HYPERLINK("https://files.illinoiscomptroller.gov/LocGovTIF/FY2025/01503030/25TIF01503030Mattoon_Midtown_1.pdf","TIF annual reporting")</x:f>
        <x:v>HYPERLINK is not implemented. linkLocation=https://files.illinoiscomptroller.gov/LocGovTIF/FY2025/01503030/25TIF01503030Mattoon_Midtown_1.pdf, friendlyName=TIF annual reporting</x:v>
      </x:c>
      <x:c r="U164" s="24" t="e">
        <x:f>HYPERLINK("https://illinoiscomptroller.gov/constituent-services/local-government/local-government-warehouse/landingpage?code=015%2F030%2F30","Municipal report index")</x:f>
        <x:v>HYPERLINK is not implemented. linkLocation=https://illinoiscomptroller.gov/constituent-services/local-government/local-government-warehouse/landingpage?code=015%2F030%2F30, friendlyName=Municipal report index</x:v>
      </x:c>
      <x:c r="V164" s="24" t="e">
        <x:f>HYPERLINK("https://files.illinoiscomptroller.gov/LocGovTIF/FY2025/01503030/25TIF01503030Mattoon_Midtown_1.pdf#page=3","Financial source")</x:f>
        <x:v>HYPERLINK is not implemented. linkLocation=https://files.illinoiscomptroller.gov/LocGovTIF/FY2025/01503030/25TIF01503030Mattoon_Midtown_1.pdf#page=3, friendlyName=Financial source</x:v>
      </x:c>
      <x:c r="W164" s="24" t="str">
        <x:v>Municipal TIF annual report, section 3.1, current-year Property Tax Increment. FY 2025</x:v>
      </x:c>
      <x:c r="X164" s="24" t="e">
        <x:f>HYPERLINK("https://www.ilga.gov/ftp/Public%20Acts/104/104-0452.htm","Name source")</x:f>
        <x:v>HYPERLINK is not implemented. linkLocation=https://www.ilga.gov/ftp/Public%20Acts/104/104-0452.htm, friendlyName=Name source</x:v>
      </x:c>
      <x:c r="Y164" s="1" t="n">
        <x:v>1</x:v>
      </x:c>
      <x:c r="Z164" s="1"/>
      <x:c r="AA164" s="1"/>
    </x:row>
    <x:row r="165" ht="54" customHeight="1">
      <x:c r="A165" s="12" t="n">
        <x:v>158</x:v>
      </x:c>
      <x:c r="B165" s="12" t="str">
        <x:v>SB 642</x:v>
      </x:c>
      <x:c r="C165" s="12" t="str">
        <x:v>104-0452</x:v>
      </x:c>
      <x:c r="D165" s="17" t="d">
        <x:v>2025-12-12T00:00:00.000Z</x:v>
      </x:c>
      <x:c r="E165" s="18" t="str">
        <x:v>Sterling</x:v>
      </x:c>
      <x:c r="F165" s="13" t="str">
        <x:v>Rock River Redevelopment</x:v>
      </x:c>
      <x:c r="G165" s="15" t="d">
        <x:v>2003-01-21T00:00:00.000Z</x:v>
      </x:c>
      <x:c r="H165" s="19" t="n">
        <x:v>23</x:v>
      </x:c>
      <x:c r="I165" s="19" t="n">
        <x:v>35</x:v>
      </x:c>
      <x:c r="J165" s="19" t="n">
        <x:v>12</x:v>
      </x:c>
      <x:c r="K165" s="19" t="str">
        <x:v>c(290)</x:v>
      </x:c>
      <x:c r="L165" s="12" t="str">
        <x:v>Fiscal year 2025</x:v>
      </x:c>
      <x:c r="M165" s="23" t="n">
        <x:v>855677</x:v>
      </x:c>
      <x:c r="N165" s="22" t="n">
        <x:f>IF(ISNUMBER(M165),M165*J165,"")</x:f>
        <x:v>10268124</x:v>
      </x:c>
      <x:c r="O165" s="13" t="str">
        <x:v>Not determinable from extension law / TIF receipts alone</x:v>
      </x:c>
      <x:c r="P165" s="13" t="str"/>
      <x:c r="Q165" s="12" t="str"/>
      <x:c r="R165" s="24" t="e">
        <x:f>HYPERLINK("https://www.ilga.gov/ftp/Public%20Acts/104/104-0452.htm","Signed Public Act")</x:f>
        <x:v>HYPERLINK is not implemented. linkLocation=https://www.ilga.gov/ftp/Public%20Acts/104/104-0452.htm, friendlyName=Signed Public Act</x:v>
      </x:c>
      <x:c r="S165" s="24" t="e">
        <x:f>HYPERLINK("https://legiscan.com/IL/bill/SB642/2025","Signing history")</x:f>
        <x:v>HYPERLINK is not implemented. linkLocation=https://legiscan.com/IL/bill/SB642/2025, friendlyName=Signing history</x:v>
      </x:c>
      <x:c r="T165" s="24" t="e">
        <x:f>HYPERLINK("https://files.illinoiscomptroller.gov/LocGovTIF/FY2025/09805530/25TIF09805530Rock_River_1.pdf","TIF annual reporting")</x:f>
        <x:v>HYPERLINK is not implemented. linkLocation=https://files.illinoiscomptroller.gov/LocGovTIF/FY2025/09805530/25TIF09805530Rock_River_1.pdf, friendlyName=TIF annual reporting</x:v>
      </x:c>
      <x:c r="U165" s="24" t="e">
        <x:f>HYPERLINK("https://illinoiscomptroller.gov/constituent-services/local-government/local-government-warehouse/landingpage?code=098%2F055%2F30","Municipal report index")</x:f>
        <x:v>HYPERLINK is not implemented. linkLocation=https://illinoiscomptroller.gov/constituent-services/local-government/local-government-warehouse/landingpage?code=098%2F055%2F30, friendlyName=Municipal report index</x:v>
      </x:c>
      <x:c r="V165" s="24" t="e">
        <x:f>HYPERLINK("https://files.illinoiscomptroller.gov/LocGovTIF/FY2025/09805530/25TIF09805530Rock_River_1.pdf#page=3","Financial source")</x:f>
        <x:v>HYPERLINK is not implemented. linkLocation=https://files.illinoiscomptroller.gov/LocGovTIF/FY2025/09805530/25TIF09805530Rock_River_1.pdf#page=3, friendlyName=Financial source</x:v>
      </x:c>
      <x:c r="W165" s="24" t="str">
        <x:v>Municipal TIF annual report, section 3.1, current-year Property Tax Increment. FY 2025</x:v>
      </x:c>
      <x:c r="X165" s="24" t="e">
        <x:f>HYPERLINK("https://www.ilga.gov/ftp/Public%20Acts/104/104-0452.htm","Name source")</x:f>
        <x:v>HYPERLINK is not implemented. linkLocation=https://www.ilga.gov/ftp/Public%20Acts/104/104-0452.htm, friendlyName=Name source</x:v>
      </x:c>
      <x:c r="Y165" s="1" t="n">
        <x:v>1</x:v>
      </x:c>
      <x:c r="Z165" s="1"/>
      <x:c r="AA165" s="1"/>
    </x:row>
    <x:row r="166" ht="54" customHeight="1">
      <x:c r="A166" s="12" t="n">
        <x:v>159</x:v>
      </x:c>
      <x:c r="B166" s="12" t="str">
        <x:v>HB 1441</x:v>
      </x:c>
      <x:c r="C166" s="12" t="str">
        <x:v>104-0756</x:v>
      </x:c>
      <x:c r="D166" s="17" t="d">
        <x:v>2026-08-07T00:00:00.000Z</x:v>
      </x:c>
      <x:c r="E166" s="18" t="str">
        <x:v>Spring Valley</x:v>
      </x:c>
      <x:c r="F166" s="13" t="str">
        <x:v>Spring Valley TIF District I</x:v>
      </x:c>
      <x:c r="G166" s="15" t="d">
        <x:v>2006-07-31T00:00:00.000Z</x:v>
      </x:c>
      <x:c r="H166" s="19" t="n">
        <x:v>23</x:v>
      </x:c>
      <x:c r="I166" s="19" t="n">
        <x:v>35</x:v>
      </x:c>
      <x:c r="J166" s="19" t="n">
        <x:v>12</x:v>
      </x:c>
      <x:c r="K166" s="19" t="str">
        <x:v>c(301)</x:v>
      </x:c>
      <x:c r="L166" s="12" t="str">
        <x:v>Fiscal year 2026</x:v>
      </x:c>
      <x:c r="M166" s="23" t="n">
        <x:v>815269</x:v>
      </x:c>
      <x:c r="N166" s="22" t="n">
        <x:f>IF(ISNUMBER(M166),M166*J166,"")</x:f>
        <x:v>9783228</x:v>
      </x:c>
      <x:c r="O166" s="13" t="str">
        <x:v>Not determinable from extension law / TIF receipts alone</x:v>
      </x:c>
      <x:c r="P166" s="13" t="str"/>
      <x:c r="Q166" s="12" t="str"/>
      <x:c r="R166" s="24" t="e">
        <x:f>HYPERLINK("https://www.ilga.gov/ftp/Public%20Acts/104/104-0756.htm","Signed Public Act")</x:f>
        <x:v>HYPERLINK is not implemented. linkLocation=https://www.ilga.gov/ftp/Public%20Acts/104/104-0756.htm, friendlyName=Signed Public Act</x:v>
      </x:c>
      <x:c r="S166" s="24" t="e">
        <x:f>HYPERLINK("https://legiscan.com/IL/bill/HB1441/2025","Signing history")</x:f>
        <x:v>HYPERLINK is not implemented. linkLocation=https://legiscan.com/IL/bill/HB1441/2025, friendlyName=Signing history</x:v>
      </x:c>
      <x:c r="T166" s="24" t="e">
        <x:f>HYPERLINK("https://files.illinoiscomptroller.gov/LocGovTIF/FY2026/00610530/26TIF00610530TIF_I.pdf","TIF annual reporting")</x:f>
        <x:v>HYPERLINK is not implemented. linkLocation=https://files.illinoiscomptroller.gov/LocGovTIF/FY2026/00610530/26TIF00610530TIF_I.pdf, friendlyName=TIF annual reporting</x:v>
      </x:c>
      <x:c r="U166" s="24" t="e">
        <x:f>HYPERLINK("https://illinoiscomptroller.gov/constituent-services/local-government/local-government-warehouse/landingpage?code=006%2F105%2F30","Municipal report index")</x:f>
        <x:v>HYPERLINK is not implemented. linkLocation=https://illinoiscomptroller.gov/constituent-services/local-government/local-government-warehouse/landingpage?code=006%2F105%2F30, friendlyName=Municipal report index</x:v>
      </x:c>
      <x:c r="V166" s="24" t="e">
        <x:f>HYPERLINK("https://files.illinoiscomptroller.gov/LocGovTIF/FY2026/00610530/26TIF00610530TIF_I.pdf#page=3","Financial source")</x:f>
        <x:v>HYPERLINK is not implemented. linkLocation=https://files.illinoiscomptroller.gov/LocGovTIF/FY2026/00610530/26TIF00610530TIF_I.pdf#page=3, friendlyName=Financial source</x:v>
      </x:c>
      <x:c r="W166" s="24" t="str">
        <x:v>Municipal TIF annual report, section 3.1, current-year Property Tax Increment. FY 2026</x:v>
      </x:c>
      <x:c r="X166" s="24" t="e">
        <x:f>HYPERLINK("https://www.ilga.gov/ftp/Public%20Acts/104/104-0756.htm","Name source")</x:f>
        <x:v>HYPERLINK is not implemented. linkLocation=https://www.ilga.gov/ftp/Public%20Acts/104/104-0756.htm, friendlyName=Name source</x:v>
      </x:c>
      <x:c r="Y166" s="1" t="n">
        <x:v>1</x:v>
      </x:c>
      <x:c r="Z166" s="1"/>
      <x:c r="AA166" s="1"/>
    </x:row>
    <x:row r="167" ht="54" customHeight="1">
      <x:c r="A167" s="12" t="n">
        <x:v>160</x:v>
      </x:c>
      <x:c r="B167" s="12" t="str">
        <x:v>HB 1441</x:v>
      </x:c>
      <x:c r="C167" s="12" t="str">
        <x:v>104-0756</x:v>
      </x:c>
      <x:c r="D167" s="17" t="d">
        <x:v>2026-08-07T00:00:00.000Z</x:v>
      </x:c>
      <x:c r="E167" s="18" t="str">
        <x:v>Bedford Park</x:v>
      </x:c>
      <x:c r="F167" s="13" t="str">
        <x:v>65th Street TIF District</x:v>
      </x:c>
      <x:c r="G167" s="15" t="d">
        <x:v>2010-08-10T00:00:00.000Z</x:v>
      </x:c>
      <x:c r="H167" s="19" t="n">
        <x:v>23</x:v>
      </x:c>
      <x:c r="I167" s="19" t="n">
        <x:v>35</x:v>
      </x:c>
      <x:c r="J167" s="19" t="n">
        <x:v>12</x:v>
      </x:c>
      <x:c r="K167" s="19" t="str">
        <x:v>c(302)</x:v>
      </x:c>
      <x:c r="L167" s="12" t="str">
        <x:v>Tax year 2024</x:v>
      </x:c>
      <x:c r="M167" s="23" t="n">
        <x:v>6263092.2</x:v>
      </x:c>
      <x:c r="N167" s="22" t="n">
        <x:f>IF(ISNUMBER(M167),M167*J167,"")</x:f>
        <x:v>75157106.4</x:v>
      </x:c>
      <x:c r="O167" s="13" t="str">
        <x:v>Not determinable from extension law / TIF receipts alone</x:v>
      </x:c>
      <x:c r="P167" s="13" t="str"/>
      <x:c r="Q167" s="12" t="str"/>
      <x:c r="R167" s="24" t="e">
        <x:f>HYPERLINK("https://www.ilga.gov/ftp/Public%20Acts/104/104-0756.htm","Signed Public Act")</x:f>
        <x:v>HYPERLINK is not implemented. linkLocation=https://www.ilga.gov/ftp/Public%20Acts/104/104-0756.htm, friendlyName=Signed Public Act</x:v>
      </x:c>
      <x:c r="S167" s="24" t="e">
        <x:f>HYPERLINK("https://legiscan.com/IL/bill/HB1441/2025","Signing history")</x:f>
        <x:v>HYPERLINK is not implemented. linkLocation=https://legiscan.com/IL/bill/HB1441/2025, friendlyName=Signing history</x:v>
      </x:c>
      <x:c r="T167" s="24" t="e">
        <x:f>HYPERLINK("https://files.illinoiscomptroller.gov/LocGovTIF/FY2025/01603532/25TIF0160353265th_Street_1.pdf","TIF annual reporting")</x:f>
        <x:v>HYPERLINK is not implemented. linkLocation=https://files.illinoiscomptroller.gov/LocGovTIF/FY2025/01603532/25TIF0160353265th_Street_1.pdf, friendlyName=TIF annual reporting</x:v>
      </x:c>
      <x:c r="U167" s="24" t="e">
        <x:f>HYPERLINK("https://illinoiscomptroller.gov/constituent-services/local-government/local-government-warehouse/landingpage?code=016%2F035%2F32","Municipal report index")</x:f>
        <x:v>HYPERLINK is not implemented. linkLocation=https://illinoiscomptroller.gov/constituent-services/local-government/local-government-warehouse/landingpage?code=016%2F035%2F32, friendlyName=Municipal report index</x:v>
      </x:c>
      <x:c r="V167" s="24" t="e">
        <x:f>HYPERLINK("https://news.wttw.com/sites/default/files/article/file-attachments/2024-tif-report.pdf#page=35","Financial source")</x:f>
        <x:v>HYPERLINK is not implemented. linkLocation=https://news.wttw.com/sites/default/files/article/file-attachments/2024-tif-report.pdf#page=35, friendlyName=Financial source</x:v>
      </x:c>
      <x:c r="W167" s="24" t="str">
        <x:v>Cook County Clerk 2024 TIF report; 03-0060-506; Bedford Park - 65th Street; PDF page 35</x:v>
      </x:c>
      <x:c r="X167" s="24" t="e">
        <x:f>HYPERLINK("https://www.ilga.gov/ftp/Public%20Acts/104/104-0756.htm","Name source")</x:f>
        <x:v>HYPERLINK is not implemented. linkLocation=https://www.ilga.gov/ftp/Public%20Acts/104/104-0756.htm, friendlyName=Name source</x:v>
      </x:c>
      <x:c r="Y167" s="1" t="n">
        <x:v>1</x:v>
      </x:c>
      <x:c r="Z167" s="1"/>
      <x:c r="AA167" s="1"/>
    </x:row>
    <x:row r="168" ht="54" customHeight="1">
      <x:c r="A168" s="12" t="n">
        <x:v>161</x:v>
      </x:c>
      <x:c r="B168" s="12" t="str">
        <x:v>HB 1441</x:v>
      </x:c>
      <x:c r="C168" s="12" t="str">
        <x:v>104-0756</x:v>
      </x:c>
      <x:c r="D168" s="17" t="d">
        <x:v>2026-08-07T00:00:00.000Z</x:v>
      </x:c>
      <x:c r="E168" s="18" t="str">
        <x:v>Lisle</x:v>
      </x:c>
      <x:c r="F168" s="13" t="str">
        <x:v>Downtown TIF District #3</x:v>
      </x:c>
      <x:c r="G168" s="15" t="d">
        <x:v>2015-03-02T00:00:00.000Z</x:v>
      </x:c>
      <x:c r="H168" s="19" t="n">
        <x:v>23</x:v>
      </x:c>
      <x:c r="I168" s="19" t="n">
        <x:v>35</x:v>
      </x:c>
      <x:c r="J168" s="19" t="n">
        <x:v>12</x:v>
      </x:c>
      <x:c r="K168" s="19" t="str">
        <x:v>c(303)</x:v>
      </x:c>
      <x:c r="L168" s="12" t="str">
        <x:v>Fiscal year 2025</x:v>
      </x:c>
      <x:c r="M168" s="23" t="n">
        <x:v>35783</x:v>
      </x:c>
      <x:c r="N168" s="22" t="n">
        <x:f>IF(ISNUMBER(M168),M168*J168,"")</x:f>
        <x:v>429396</x:v>
      </x:c>
      <x:c r="O168" s="13" t="str">
        <x:v>Not determinable from extension law / TIF receipts alone</x:v>
      </x:c>
      <x:c r="P168" s="13" t="str"/>
      <x:c r="Q168" s="12" t="str"/>
      <x:c r="R168" s="24" t="e">
        <x:f>HYPERLINK("https://www.ilga.gov/ftp/Public%20Acts/104/104-0756.htm","Signed Public Act")</x:f>
        <x:v>HYPERLINK is not implemented. linkLocation=https://www.ilga.gov/ftp/Public%20Acts/104/104-0756.htm, friendlyName=Signed Public Act</x:v>
      </x:c>
      <x:c r="S168" s="24" t="e">
        <x:f>HYPERLINK("https://legiscan.com/IL/bill/HB1441/2025","Signing history")</x:f>
        <x:v>HYPERLINK is not implemented. linkLocation=https://legiscan.com/IL/bill/HB1441/2025, friendlyName=Signing history</x:v>
      </x:c>
      <x:c r="T168" s="24" t="e">
        <x:f>HYPERLINK("https://files.illinoiscomptroller.gov/LocGovTIF/FY2025/02207032/25TIF02207032Downtown_TIF_3_1.pdf","TIF annual reporting")</x:f>
        <x:v>HYPERLINK is not implemented. linkLocation=https://files.illinoiscomptroller.gov/LocGovTIF/FY2025/02207032/25TIF02207032Downtown_TIF_3_1.pdf, friendlyName=TIF annual reporting</x:v>
      </x:c>
      <x:c r="U168" s="24" t="e">
        <x:f>HYPERLINK("https://illinoiscomptroller.gov/constituent-services/local-government/local-government-warehouse/landingpage?code=022%2F070%2F32","Municipal report index")</x:f>
        <x:v>HYPERLINK is not implemented. linkLocation=https://illinoiscomptroller.gov/constituent-services/local-government/local-government-warehouse/landingpage?code=022%2F070%2F32, friendlyName=Municipal report index</x:v>
      </x:c>
      <x:c r="V168" s="24" t="e">
        <x:f>HYPERLINK("https://files.illinoiscomptroller.gov/LocGovTIF/FY2025/02207032/25TIF02207032Downtown_TIF_3_1.pdf#page=3","Financial source")</x:f>
        <x:v>HYPERLINK is not implemented. linkLocation=https://files.illinoiscomptroller.gov/LocGovTIF/FY2025/02207032/25TIF02207032Downtown_TIF_3_1.pdf#page=3, friendlyName=Financial source</x:v>
      </x:c>
      <x:c r="W168" s="24" t="str">
        <x:v>Municipal TIF annual report, section 3.1, current-year Property Tax Increment. FY 2025</x:v>
      </x:c>
      <x:c r="X168" s="24" t="e">
        <x:f>HYPERLINK("https://www.ilga.gov/ftp/Public%20Acts/104/104-0756.htm","Name source")</x:f>
        <x:v>HYPERLINK is not implemented. linkLocation=https://www.ilga.gov/ftp/Public%20Acts/104/104-0756.htm, friendlyName=Name source</x:v>
      </x:c>
      <x:c r="Y168" s="1" t="n">
        <x:v>1</x:v>
      </x:c>
      <x:c r="Z168" s="1"/>
      <x:c r="AA168" s="1"/>
    </x:row>
    <x:row r="169" ht="54" customHeight="1">
      <x:c r="A169" s="12" t="n">
        <x:v>162</x:v>
      </x:c>
      <x:c r="B169" s="12" t="str">
        <x:v>HB 1441</x:v>
      </x:c>
      <x:c r="C169" s="12" t="str">
        <x:v>104-0756</x:v>
      </x:c>
      <x:c r="D169" s="17" t="d">
        <x:v>2026-08-07T00:00:00.000Z</x:v>
      </x:c>
      <x:c r="E169" s="18" t="str">
        <x:v>Mt. Vernon</x:v>
      </x:c>
      <x:c r="F169" s="13" t="str">
        <x:v>Route 15 Interstate 57 TIF District</x:v>
      </x:c>
      <x:c r="G169" s="15" t="d">
        <x:v>2010-10-18T00:00:00.000Z</x:v>
      </x:c>
      <x:c r="H169" s="19" t="n">
        <x:v>23</x:v>
      </x:c>
      <x:c r="I169" s="19" t="n">
        <x:v>35</x:v>
      </x:c>
      <x:c r="J169" s="19" t="n">
        <x:v>12</x:v>
      </x:c>
      <x:c r="K169" s="19" t="str">
        <x:v>c(304)</x:v>
      </x:c>
      <x:c r="L169" s="12" t="str">
        <x:v>Fiscal year 2025</x:v>
      </x:c>
      <x:c r="M169" s="23" t="n">
        <x:v>429670</x:v>
      </x:c>
      <x:c r="N169" s="22" t="n">
        <x:f>IF(ISNUMBER(M169),M169*J169,"")</x:f>
        <x:v>5156040</x:v>
      </x:c>
      <x:c r="O169" s="13" t="str">
        <x:v>Not determinable from extension law / TIF receipts alone</x:v>
      </x:c>
      <x:c r="P169" s="13" t="str"/>
      <x:c r="Q169" s="12" t="str"/>
      <x:c r="R169" s="24" t="e">
        <x:f>HYPERLINK("https://www.ilga.gov/ftp/Public%20Acts/104/104-0756.htm","Signed Public Act")</x:f>
        <x:v>HYPERLINK is not implemented. linkLocation=https://www.ilga.gov/ftp/Public%20Acts/104/104-0756.htm, friendlyName=Signed Public Act</x:v>
      </x:c>
      <x:c r="S169" s="24" t="e">
        <x:f>HYPERLINK("https://legiscan.com/IL/bill/HB1441/2025","Signing history")</x:f>
        <x:v>HYPERLINK is not implemented. linkLocation=https://legiscan.com/IL/bill/HB1441/2025, friendlyName=Signing history</x:v>
      </x:c>
      <x:c r="T169" s="24" t="e">
        <x:f>HYPERLINK("https://files.illinoiscomptroller.gov/LocGovTIF/FY2025/04103530/25TIF04103530route_15__I-57_1.pdf","TIF annual reporting")</x:f>
        <x:v>HYPERLINK is not implemented. linkLocation=https://files.illinoiscomptroller.gov/LocGovTIF/FY2025/04103530/25TIF04103530route_15__I-57_1.pdf, friendlyName=TIF annual reporting</x:v>
      </x:c>
      <x:c r="U169" s="24" t="e">
        <x:f>HYPERLINK("https://illinoiscomptroller.gov/constituent-services/local-government/local-government-warehouse/landingpage?code=041%2F035%2F30","Municipal report index")</x:f>
        <x:v>HYPERLINK is not implemented. linkLocation=https://illinoiscomptroller.gov/constituent-services/local-government/local-government-warehouse/landingpage?code=041%2F035%2F30, friendlyName=Municipal report index</x:v>
      </x:c>
      <x:c r="V169" s="24" t="e">
        <x:f>HYPERLINK("https://files.illinoiscomptroller.gov/LocGovTIF/FY2025/04103530/25TIF04103530route_15__I-57_1.pdf#page=3","Financial source")</x:f>
        <x:v>HYPERLINK is not implemented. linkLocation=https://files.illinoiscomptroller.gov/LocGovTIF/FY2025/04103530/25TIF04103530route_15__I-57_1.pdf#page=3, friendlyName=Financial source</x:v>
      </x:c>
      <x:c r="W169" s="24" t="str">
        <x:v>Municipal TIF annual report, section 3.1, current-year Property Tax Increment. FY 2025</x:v>
      </x:c>
      <x:c r="X169" s="24" t="e">
        <x:f>HYPERLINK("https://www.ilga.gov/ftp/Public%20Acts/104/104-0756.htm","Name source")</x:f>
        <x:v>HYPERLINK is not implemented. linkLocation=https://www.ilga.gov/ftp/Public%20Acts/104/104-0756.htm, friendlyName=Name source</x:v>
      </x:c>
      <x:c r="Y169" s="1" t="n">
        <x:v>1</x:v>
      </x:c>
      <x:c r="Z169" s="1"/>
      <x:c r="AA169" s="1"/>
    </x:row>
    <x:row r="170" ht="54" customHeight="1">
      <x:c r="A170" s="12" t="n">
        <x:v>163</x:v>
      </x:c>
      <x:c r="B170" s="12" t="str">
        <x:v>HB 1441</x:v>
      </x:c>
      <x:c r="C170" s="12" t="str">
        <x:v>104-0756</x:v>
      </x:c>
      <x:c r="D170" s="17" t="d">
        <x:v>2026-08-07T00:00:00.000Z</x:v>
      </x:c>
      <x:c r="E170" s="18" t="str">
        <x:v>Hoffman Estates</x:v>
      </x:c>
      <x:c r="F170" s="13" t="str">
        <x:v>Golf, Higgins, and Roselle Road TIF District</x:v>
      </x:c>
      <x:c r="G170" s="15" t="d">
        <x:v>2003-05-03T00:00:00.000Z</x:v>
      </x:c>
      <x:c r="H170" s="19" t="n">
        <x:v>23</x:v>
      </x:c>
      <x:c r="I170" s="19" t="n">
        <x:v>35</x:v>
      </x:c>
      <x:c r="J170" s="19" t="n">
        <x:v>12</x:v>
      </x:c>
      <x:c r="K170" s="19" t="str">
        <x:v>c(305)</x:v>
      </x:c>
      <x:c r="L170" s="12" t="str">
        <x:v>Tax year 2024</x:v>
      </x:c>
      <x:c r="M170" s="23" t="n">
        <x:v>997431.36</x:v>
      </x:c>
      <x:c r="N170" s="22" t="n">
        <x:f>IF(ISNUMBER(M170),M170*J170,"")</x:f>
        <x:v>11969176.32</x:v>
      </x:c>
      <x:c r="O170" s="13" t="str">
        <x:v>Not determinable from extension law / TIF receipts alone</x:v>
      </x:c>
      <x:c r="P170" s="13" t="str"/>
      <x:c r="Q170" s="12" t="str"/>
      <x:c r="R170" s="24" t="e">
        <x:f>HYPERLINK("https://www.ilga.gov/ftp/Public%20Acts/104/104-0756.htm","Signed Public Act")</x:f>
        <x:v>HYPERLINK is not implemented. linkLocation=https://www.ilga.gov/ftp/Public%20Acts/104/104-0756.htm, friendlyName=Signed Public Act</x:v>
      </x:c>
      <x:c r="S170" s="24" t="e">
        <x:f>HYPERLINK("https://legiscan.com/IL/bill/HB1441/2025","Signing history")</x:f>
        <x:v>HYPERLINK is not implemented. linkLocation=https://legiscan.com/IL/bill/HB1441/2025, friendlyName=Signing history</x:v>
      </x:c>
      <x:c r="T170" s="24" t="e">
        <x:f>HYPERLINK("https://files.illinoiscomptroller.gov/LocGovTIF/FY2025/01626032/25TIF01626032Golf,_HigRoad_TIF_1.pdf","TIF annual reporting")</x:f>
        <x:v>HYPERLINK is not implemented. linkLocation=https://files.illinoiscomptroller.gov/LocGovTIF/FY2025/01626032/25TIF01626032Golf,_HigRoad_TIF_1.pdf, friendlyName=TIF annual reporting</x:v>
      </x:c>
      <x:c r="U170" s="24" t="e">
        <x:f>HYPERLINK("https://illinoiscomptroller.gov/constituent-services/local-government/local-government-warehouse/landingpage?code=016%2F260%2F32","Municipal report index")</x:f>
        <x:v>HYPERLINK is not implemented. linkLocation=https://illinoiscomptroller.gov/constituent-services/local-government/local-government-warehouse/landingpage?code=016%2F260%2F32, friendlyName=Municipal report index</x:v>
      </x:c>
      <x:c r="V170" s="24" t="e">
        <x:f>HYPERLINK("https://news.wttw.com/sites/default/files/article/file-attachments/2024-tif-report.pdf#page=52","Financial source")</x:f>
        <x:v>HYPERLINK is not implemented. linkLocation=https://news.wttw.com/sites/default/files/article/file-attachments/2024-tif-report.pdf#page=52, friendlyName=Financial source</x:v>
      </x:c>
      <x:c r="W170" s="24" t="str">
        <x:v>Cook County Clerk 2024 TIF report; 03-0580-502; Hoffman Estates - Golf / Higgins / Roselle; PDF page 52</x:v>
      </x:c>
      <x:c r="X170" s="24" t="e">
        <x:f>HYPERLINK("https://www.ilga.gov/ftp/Public%20Acts/104/104-0756.htm","Name source")</x:f>
        <x:v>HYPERLINK is not implemented. linkLocation=https://www.ilga.gov/ftp/Public%20Acts/104/104-0756.htm, friendlyName=Name source</x:v>
      </x:c>
      <x:c r="Y170" s="1" t="n">
        <x:v>1</x:v>
      </x:c>
      <x:c r="Z170" s="1"/>
      <x:c r="AA170" s="1"/>
    </x:row>
    <x:row r="171" ht="54" customHeight="1">
      <x:c r="A171" s="12" t="n">
        <x:v>164</x:v>
      </x:c>
      <x:c r="B171" s="12" t="str">
        <x:v>HB 1441</x:v>
      </x:c>
      <x:c r="C171" s="12" t="str">
        <x:v>104-0756</x:v>
      </x:c>
      <x:c r="D171" s="17" t="d">
        <x:v>2026-08-07T00:00:00.000Z</x:v>
      </x:c>
      <x:c r="E171" s="18" t="str">
        <x:v>Centralia</x:v>
      </x:c>
      <x:c r="F171" s="13" t="str">
        <x:v>TIF District #3</x:v>
      </x:c>
      <x:c r="G171" s="15" t="d">
        <x:v>2003-06-23T00:00:00.000Z</x:v>
      </x:c>
      <x:c r="H171" s="19" t="n">
        <x:v>23</x:v>
      </x:c>
      <x:c r="I171" s="19" t="n">
        <x:v>35</x:v>
      </x:c>
      <x:c r="J171" s="19" t="n">
        <x:v>12</x:v>
      </x:c>
      <x:c r="K171" s="19" t="str">
        <x:v>c(306)</x:v>
      </x:c>
      <x:c r="L171" s="12" t="str">
        <x:v>Fiscal year 2025</x:v>
      </x:c>
      <x:c r="M171" s="23" t="n">
        <x:v>272482</x:v>
      </x:c>
      <x:c r="N171" s="22" t="n">
        <x:f>IF(ISNUMBER(M171),M171*J171,"")</x:f>
        <x:v>3269784</x:v>
      </x:c>
      <x:c r="O171" s="13" t="str">
        <x:v>Not determinable from extension law / TIF receipts alone</x:v>
      </x:c>
      <x:c r="P171" s="13" t="str"/>
      <x:c r="Q171" s="12" t="str"/>
      <x:c r="R171" s="24" t="e">
        <x:f>HYPERLINK("https://www.ilga.gov/ftp/Public%20Acts/104/104-0756.htm","Signed Public Act")</x:f>
        <x:v>HYPERLINK is not implemented. linkLocation=https://www.ilga.gov/ftp/Public%20Acts/104/104-0756.htm, friendlyName=Signed Public Act</x:v>
      </x:c>
      <x:c r="S171" s="24" t="e">
        <x:f>HYPERLINK("https://legiscan.com/IL/bill/HB1441/2025","Signing history")</x:f>
        <x:v>HYPERLINK is not implemented. linkLocation=https://legiscan.com/IL/bill/HB1441/2025, friendlyName=Signing history</x:v>
      </x:c>
      <x:c r="T171" s="24" t="e">
        <x:f>HYPERLINK("https://files.illinoiscomptroller.gov/LocGovTIF/FY2025/05802030/25TIF05802030TIF_3_1.pdf","TIF annual reporting")</x:f>
        <x:v>HYPERLINK is not implemented. linkLocation=https://files.illinoiscomptroller.gov/LocGovTIF/FY2025/05802030/25TIF05802030TIF_3_1.pdf, friendlyName=TIF annual reporting</x:v>
      </x:c>
      <x:c r="U171" s="24" t="e">
        <x:f>HYPERLINK("https://illinoiscomptroller.gov/constituent-services/local-government/local-government-warehouse/landingpage?code=058%2F020%2F30","Municipal report index")</x:f>
        <x:v>HYPERLINK is not implemented. linkLocation=https://illinoiscomptroller.gov/constituent-services/local-government/local-government-warehouse/landingpage?code=058%2F020%2F30, friendlyName=Municipal report index</x:v>
      </x:c>
      <x:c r="V171" s="24" t="e">
        <x:f>HYPERLINK("https://files.illinoiscomptroller.gov/LocGovTIF/FY2025/05802030/25TIF05802030TIF_3_1.pdf#page=3","Financial source")</x:f>
        <x:v>HYPERLINK is not implemented. linkLocation=https://files.illinoiscomptroller.gov/LocGovTIF/FY2025/05802030/25TIF05802030TIF_3_1.pdf#page=3, friendlyName=Financial source</x:v>
      </x:c>
      <x:c r="W171" s="24" t="str">
        <x:v>Municipal TIF annual report, section 3.1, current-year Property Tax Increment. FY 2025</x:v>
      </x:c>
      <x:c r="X171" s="24" t="e">
        <x:f>HYPERLINK("https://www.ilga.gov/ftp/Public%20Acts/104/104-0756.htm","Name source")</x:f>
        <x:v>HYPERLINK is not implemented. linkLocation=https://www.ilga.gov/ftp/Public%20Acts/104/104-0756.htm, friendlyName=Name source</x:v>
      </x:c>
      <x:c r="Y171" s="1" t="n">
        <x:v>1</x:v>
      </x:c>
      <x:c r="Z171" s="1"/>
      <x:c r="AA171" s="1"/>
    </x:row>
    <x:row r="172" ht="54" customHeight="1">
      <x:c r="A172" s="12" t="n">
        <x:v>165</x:v>
      </x:c>
      <x:c r="B172" s="12" t="str">
        <x:v>HB 1441</x:v>
      </x:c>
      <x:c r="C172" s="12" t="str">
        <x:v>104-0756</x:v>
      </x:c>
      <x:c r="D172" s="17" t="d">
        <x:v>2026-08-07T00:00:00.000Z</x:v>
      </x:c>
      <x:c r="E172" s="18" t="str">
        <x:v>Paris</x:v>
      </x:c>
      <x:c r="F172" s="13" t="str">
        <x:v>Jasper TIF District</x:v>
      </x:c>
      <x:c r="G172" s="15" t="d">
        <x:v>2006-01-01T00:00:00.000Z</x:v>
      </x:c>
      <x:c r="H172" s="19" t="n">
        <x:v>23</x:v>
      </x:c>
      <x:c r="I172" s="19" t="n">
        <x:v>35</x:v>
      </x:c>
      <x:c r="J172" s="19" t="n">
        <x:v>12</x:v>
      </x:c>
      <x:c r="K172" s="19" t="str">
        <x:v>c(307)</x:v>
      </x:c>
      <x:c r="L172" s="12" t="str">
        <x:v>Fiscal year 2025</x:v>
      </x:c>
      <x:c r="M172" s="23" t="n">
        <x:v>720574</x:v>
      </x:c>
      <x:c r="N172" s="22" t="n">
        <x:f>IF(ISNUMBER(M172),M172*J172,"")</x:f>
        <x:v>8646888</x:v>
      </x:c>
      <x:c r="O172" s="13" t="str">
        <x:v>Not determinable from extension law / TIF receipts alone</x:v>
      </x:c>
      <x:c r="P172" s="13" t="str"/>
      <x:c r="Q172" s="12" t="str"/>
      <x:c r="R172" s="24" t="e">
        <x:f>HYPERLINK("https://www.ilga.gov/ftp/Public%20Acts/104/104-0756.htm","Signed Public Act")</x:f>
        <x:v>HYPERLINK is not implemented. linkLocation=https://www.ilga.gov/ftp/Public%20Acts/104/104-0756.htm, friendlyName=Signed Public Act</x:v>
      </x:c>
      <x:c r="S172" s="24" t="e">
        <x:f>HYPERLINK("https://legiscan.com/IL/bill/HB1441/2025","Signing history")</x:f>
        <x:v>HYPERLINK is not implemented. linkLocation=https://legiscan.com/IL/bill/HB1441/2025, friendlyName=Signing history</x:v>
      </x:c>
      <x:c r="T172" s="24" t="e">
        <x:f>HYPERLINK("https://files.illinoiscomptroller.gov/LocGovTIF/FY2025/02303530/25TIF02303530Jasper_Street_1.pdf","TIF annual reporting")</x:f>
        <x:v>HYPERLINK is not implemented. linkLocation=https://files.illinoiscomptroller.gov/LocGovTIF/FY2025/02303530/25TIF02303530Jasper_Street_1.pdf, friendlyName=TIF annual reporting</x:v>
      </x:c>
      <x:c r="U172" s="24" t="e">
        <x:f>HYPERLINK("https://illinoiscomptroller.gov/constituent-services/local-government/local-government-warehouse/landingpage?code=023%2F035%2F30","Municipal report index")</x:f>
        <x:v>HYPERLINK is not implemented. linkLocation=https://illinoiscomptroller.gov/constituent-services/local-government/local-government-warehouse/landingpage?code=023%2F035%2F30, friendlyName=Municipal report index</x:v>
      </x:c>
      <x:c r="V172" s="24" t="e">
        <x:f>HYPERLINK("https://files.illinoiscomptroller.gov/LocGovTIF/FY2025/02303530/25TIF02303530Jasper_Street_1.pdf#page=3","Financial source")</x:f>
        <x:v>HYPERLINK is not implemented. linkLocation=https://files.illinoiscomptroller.gov/LocGovTIF/FY2025/02303530/25TIF02303530Jasper_Street_1.pdf#page=3, friendlyName=Financial source</x:v>
      </x:c>
      <x:c r="W172" s="24" t="str">
        <x:v>Municipal TIF annual report, section 3.1, current-year Property Tax Increment. FY 2025</x:v>
      </x:c>
      <x:c r="X172" s="24" t="e">
        <x:f>HYPERLINK("https://www.ilga.gov/ftp/Public%20Acts/104/104-0756.htm","Name source")</x:f>
        <x:v>HYPERLINK is not implemented. linkLocation=https://www.ilga.gov/ftp/Public%20Acts/104/104-0756.htm, friendlyName=Name source</x:v>
      </x:c>
      <x:c r="Y172" s="1" t="n">
        <x:v>1</x:v>
      </x:c>
      <x:c r="Z172" s="1"/>
      <x:c r="AA172" s="1"/>
    </x:row>
    <x:row r="173" ht="54" customHeight="1">
      <x:c r="A173" s="12" t="n">
        <x:v>166</x:v>
      </x:c>
      <x:c r="B173" s="12" t="str">
        <x:v>HB 1441</x:v>
      </x:c>
      <x:c r="C173" s="12" t="str">
        <x:v>104-0756</x:v>
      </x:c>
      <x:c r="D173" s="17" t="d">
        <x:v>2026-08-07T00:00:00.000Z</x:v>
      </x:c>
      <x:c r="E173" s="18" t="str">
        <x:v>Summit</x:v>
      </x:c>
      <x:c r="F173" s="13" t="str">
        <x:v>63rd Street/Archer Avenue</x:v>
      </x:c>
      <x:c r="G173" s="15" t="d">
        <x:v>2003-07-01T00:00:00.000Z</x:v>
      </x:c>
      <x:c r="H173" s="19" t="n">
        <x:v>23</x:v>
      </x:c>
      <x:c r="I173" s="19" t="n">
        <x:v>35</x:v>
      </x:c>
      <x:c r="J173" s="19" t="n">
        <x:v>12</x:v>
      </x:c>
      <x:c r="K173" s="19" t="str">
        <x:v>c(308)</x:v>
      </x:c>
      <x:c r="L173" s="12" t="str">
        <x:v>Tax year 2024</x:v>
      </x:c>
      <x:c r="M173" s="23" t="n">
        <x:v>1169144.81</x:v>
      </x:c>
      <x:c r="N173" s="22" t="n">
        <x:f>IF(ISNUMBER(M173),M173*J173,"")</x:f>
        <x:v>14029737.72</x:v>
      </x:c>
      <x:c r="O173" s="13" t="str">
        <x:v>Not determinable from extension law / TIF receipts alone</x:v>
      </x:c>
      <x:c r="P173" s="13" t="str"/>
      <x:c r="Q173" s="12" t="str"/>
      <x:c r="R173" s="24" t="e">
        <x:f>HYPERLINK("https://www.ilga.gov/ftp/Public%20Acts/104/104-0756.htm","Signed Public Act")</x:f>
        <x:v>HYPERLINK is not implemented. linkLocation=https://www.ilga.gov/ftp/Public%20Acts/104/104-0756.htm, friendlyName=Signed Public Act</x:v>
      </x:c>
      <x:c r="S173" s="24" t="e">
        <x:f>HYPERLINK("https://legiscan.com/IL/bill/HB1441/2025","Signing history")</x:f>
        <x:v>HYPERLINK is not implemented. linkLocation=https://legiscan.com/IL/bill/HB1441/2025, friendlyName=Signing history</x:v>
      </x:c>
      <x:c r="T173" s="24" t="e">
        <x:f>HYPERLINK("https://illinoiscomptroller.gov/constituent-services/local-government/local-government-warehouse/landingpage?code=016%2F565%2F32","TIF annual reporting")</x:f>
        <x:v>HYPERLINK is not implemented. linkLocation=https://illinoiscomptroller.gov/constituent-services/local-government/local-government-warehouse/landingpage?code=016%2F565%2F32, friendlyName=TIF annual reporting</x:v>
      </x:c>
      <x:c r="U173" s="24" t="e">
        <x:f>HYPERLINK("https://illinoiscomptroller.gov/constituent-services/local-government/local-government-warehouse/landingpage?code=016%2F565%2F32","Municipal report index")</x:f>
        <x:v>HYPERLINK is not implemented. linkLocation=https://illinoiscomptroller.gov/constituent-services/local-government/local-government-warehouse/landingpage?code=016%2F565%2F32, friendlyName=Municipal report index</x:v>
      </x:c>
      <x:c r="V173" s="24" t="e">
        <x:f>HYPERLINK("https://news.wttw.com/sites/default/files/article/file-attachments/2024-tif-report.pdf#page=64","Financial source")</x:f>
        <x:v>HYPERLINK is not implemented. linkLocation=https://news.wttw.com/sites/default/files/article/file-attachments/2024-tif-report.pdf#page=64, friendlyName=Financial source</x:v>
      </x:c>
      <x:c r="W173" s="24" t="str">
        <x:v>Cook County Clerk 2024 TIF report; 03-1250-501; Summit - 63rd St / Archer Ave; PDF page 64</x:v>
      </x:c>
      <x:c r="X173" s="24" t="e">
        <x:f>HYPERLINK("https://www.ilga.gov/ftp/Public%20Acts/104/104-0756.htm","Name source")</x:f>
        <x:v>HYPERLINK is not implemented. linkLocation=https://www.ilga.gov/ftp/Public%20Acts/104/104-0756.htm, friendlyName=Name source</x:v>
      </x:c>
      <x:c r="Y173" s="1" t="n">
        <x:v>1</x:v>
      </x:c>
      <x:c r="Z173" s="1"/>
      <x:c r="AA173" s="1"/>
    </x:row>
    <x:row r="174" ht="54" customHeight="1">
      <x:c r="A174" s="12" t="n">
        <x:v>167</x:v>
      </x:c>
      <x:c r="B174" s="12" t="str">
        <x:v>HB 1441</x:v>
      </x:c>
      <x:c r="C174" s="12" t="str">
        <x:v>104-0756</x:v>
      </x:c>
      <x:c r="D174" s="17" t="d">
        <x:v>2026-08-07T00:00:00.000Z</x:v>
      </x:c>
      <x:c r="E174" s="18" t="str">
        <x:v>Mokena</x:v>
      </x:c>
      <x:c r="F174" s="13" t="str">
        <x:v>Project Area #1</x:v>
      </x:c>
      <x:c r="G174" s="15" t="d">
        <x:v>2009-05-09T00:00:00.000Z</x:v>
      </x:c>
      <x:c r="H174" s="19" t="n">
        <x:v>23</x:v>
      </x:c>
      <x:c r="I174" s="19" t="n">
        <x:v>35</x:v>
      </x:c>
      <x:c r="J174" s="19" t="n">
        <x:v>12</x:v>
      </x:c>
      <x:c r="K174" s="19" t="str">
        <x:v>c(309)</x:v>
      </x:c>
      <x:c r="L174" s="12" t="str">
        <x:v>Fiscal year 2025</x:v>
      </x:c>
      <x:c r="M174" s="23" t="n">
        <x:v>89275</x:v>
      </x:c>
      <x:c r="N174" s="22" t="n">
        <x:f>IF(ISNUMBER(M174),M174*J174,"")</x:f>
        <x:v>1071300</x:v>
      </x:c>
      <x:c r="O174" s="13" t="str">
        <x:v>Not determinable from extension law / TIF receipts alone</x:v>
      </x:c>
      <x:c r="P174" s="13" t="str"/>
      <x:c r="Q174" s="12" t="str"/>
      <x:c r="R174" s="24" t="e">
        <x:f>HYPERLINK("https://www.ilga.gov/ftp/Public%20Acts/104/104-0756.htm","Signed Public Act")</x:f>
        <x:v>HYPERLINK is not implemented. linkLocation=https://www.ilga.gov/ftp/Public%20Acts/104/104-0756.htm, friendlyName=Signed Public Act</x:v>
      </x:c>
      <x:c r="S174" s="24" t="e">
        <x:f>HYPERLINK("https://legiscan.com/IL/bill/HB1441/2025","Signing history")</x:f>
        <x:v>HYPERLINK is not implemented. linkLocation=https://legiscan.com/IL/bill/HB1441/2025, friendlyName=Signing history</x:v>
      </x:c>
      <x:c r="T174" s="24" t="e">
        <x:f>HYPERLINK("https://files.illinoiscomptroller.gov/LocGovTIF/FY2025/09907032/25TIF09907032TIF_1_1.pdf","TIF annual reporting")</x:f>
        <x:v>HYPERLINK is not implemented. linkLocation=https://files.illinoiscomptroller.gov/LocGovTIF/FY2025/09907032/25TIF09907032TIF_1_1.pdf, friendlyName=TIF annual reporting</x:v>
      </x:c>
      <x:c r="U174" s="24" t="e">
        <x:f>HYPERLINK("https://illinoiscomptroller.gov/constituent-services/local-government/local-government-warehouse/landingpage?code=099%2F070%2F32","Municipal report index")</x:f>
        <x:v>HYPERLINK is not implemented. linkLocation=https://illinoiscomptroller.gov/constituent-services/local-government/local-government-warehouse/landingpage?code=099%2F070%2F32, friendlyName=Municipal report index</x:v>
      </x:c>
      <x:c r="V174" s="24" t="e">
        <x:f>HYPERLINK("https://files.illinoiscomptroller.gov/LocGovTIF/FY2025/09907032/25TIF09907032TIF_1_1.pdf#page=3","Financial source")</x:f>
        <x:v>HYPERLINK is not implemented. linkLocation=https://files.illinoiscomptroller.gov/LocGovTIF/FY2025/09907032/25TIF09907032TIF_1_1.pdf#page=3, friendlyName=Financial source</x:v>
      </x:c>
      <x:c r="W174" s="24" t="str">
        <x:v>Municipal TIF annual report, section 3.1, current-year Property Tax Increment. FY 2025</x:v>
      </x:c>
      <x:c r="X174" s="24" t="e">
        <x:f>HYPERLINK("https://www.ilga.gov/ftp/Public%20Acts/104/104-0756.htm","Name source")</x:f>
        <x:v>HYPERLINK is not implemented. linkLocation=https://www.ilga.gov/ftp/Public%20Acts/104/104-0756.htm, friendlyName=Name source</x:v>
      </x:c>
      <x:c r="Y174" s="1" t="n">
        <x:v>1</x:v>
      </x:c>
      <x:c r="Z174" s="1"/>
      <x:c r="AA174" s="1"/>
    </x:row>
    <x:row r="175" ht="54" customHeight="1">
      <x:c r="A175" s="12" t="n">
        <x:v>168</x:v>
      </x:c>
      <x:c r="B175" s="12" t="str">
        <x:v>HB 1441</x:v>
      </x:c>
      <x:c r="C175" s="12" t="str">
        <x:v>104-0756</x:v>
      </x:c>
      <x:c r="D175" s="17" t="d">
        <x:v>2026-08-07T00:00:00.000Z</x:v>
      </x:c>
      <x:c r="E175" s="18" t="str">
        <x:v>Seneca</x:v>
      </x:c>
      <x:c r="F175" s="13" t="str">
        <x:v>Shipyard Road TIF District</x:v>
      </x:c>
      <x:c r="G175" s="15" t="d">
        <x:v>2003-12-16T00:00:00.000Z</x:v>
      </x:c>
      <x:c r="H175" s="19" t="n">
        <x:v>23</x:v>
      </x:c>
      <x:c r="I175" s="19" t="n">
        <x:v>35</x:v>
      </x:c>
      <x:c r="J175" s="19" t="n">
        <x:v>12</x:v>
      </x:c>
      <x:c r="K175" s="19" t="str">
        <x:v>c(310)</x:v>
      </x:c>
      <x:c r="L175" s="12" t="str">
        <x:v>Fiscal year 2025</x:v>
      </x:c>
      <x:c r="M175" s="23" t="n">
        <x:v>583669</x:v>
      </x:c>
      <x:c r="N175" s="22" t="n">
        <x:f>IF(ISNUMBER(M175),M175*J175,"")</x:f>
        <x:v>7004028</x:v>
      </x:c>
      <x:c r="O175" s="13" t="str">
        <x:v>Not determinable from extension law / TIF receipts alone</x:v>
      </x:c>
      <x:c r="P175" s="13" t="str"/>
      <x:c r="Q175" s="12" t="str"/>
      <x:c r="R175" s="24" t="e">
        <x:f>HYPERLINK("https://www.ilga.gov/ftp/Public%20Acts/104/104-0756.htm","Signed Public Act")</x:f>
        <x:v>HYPERLINK is not implemented. linkLocation=https://www.ilga.gov/ftp/Public%20Acts/104/104-0756.htm, friendlyName=Signed Public Act</x:v>
      </x:c>
      <x:c r="S175" s="24" t="e">
        <x:f>HYPERLINK("https://legiscan.com/IL/bill/HB1441/2025","Signing history")</x:f>
        <x:v>HYPERLINK is not implemented. linkLocation=https://legiscan.com/IL/bill/HB1441/2025, friendlyName=Signing history</x:v>
      </x:c>
      <x:c r="T175" s="24" t="e">
        <x:f>HYPERLINK("https://files.illinoiscomptroller.gov/LocGovTIF/FY2025/05010032/25TIF05010032Old_Shipyard_1.pdf","TIF annual reporting")</x:f>
        <x:v>HYPERLINK is not implemented. linkLocation=https://files.illinoiscomptroller.gov/LocGovTIF/FY2025/05010032/25TIF05010032Old_Shipyard_1.pdf, friendlyName=TIF annual reporting</x:v>
      </x:c>
      <x:c r="U175" s="24" t="e">
        <x:f>HYPERLINK("https://illinoiscomptroller.gov/constituent-services/local-government/local-government-warehouse/landingpage?code=050%2F100%2F32","Municipal report index")</x:f>
        <x:v>HYPERLINK is not implemented. linkLocation=https://illinoiscomptroller.gov/constituent-services/local-government/local-government-warehouse/landingpage?code=050%2F100%2F32, friendlyName=Municipal report index</x:v>
      </x:c>
      <x:c r="V175" s="24" t="e">
        <x:f>HYPERLINK("https://files.illinoiscomptroller.gov/LocGovTIF/FY2025/05010032/25TIF05010032Old_Shipyard_1.pdf#page=3","Financial source")</x:f>
        <x:v>HYPERLINK is not implemented. linkLocation=https://files.illinoiscomptroller.gov/LocGovTIF/FY2025/05010032/25TIF05010032Old_Shipyard_1.pdf#page=3, friendlyName=Financial source</x:v>
      </x:c>
      <x:c r="W175" s="24" t="str">
        <x:v>Municipal TIF annual report, section 3.1, current-year Property Tax Increment. FY 2025</x:v>
      </x:c>
      <x:c r="X175" s="24" t="e">
        <x:f>HYPERLINK("https://www.ilga.gov/ftp/Public%20Acts/104/104-0756.htm","Name source")</x:f>
        <x:v>HYPERLINK is not implemented. linkLocation=https://www.ilga.gov/ftp/Public%20Acts/104/104-0756.htm, friendlyName=Name source</x:v>
      </x:c>
      <x:c r="Y175" s="1" t="n">
        <x:v>1</x:v>
      </x:c>
      <x:c r="Z175" s="1"/>
      <x:c r="AA175" s="1"/>
    </x:row>
    <x:row r="176" ht="54" customHeight="1">
      <x:c r="A176" s="12" t="n">
        <x:v>169</x:v>
      </x:c>
      <x:c r="B176" s="12" t="str">
        <x:v>HB 1441</x:v>
      </x:c>
      <x:c r="C176" s="12" t="str">
        <x:v>104-0756</x:v>
      </x:c>
      <x:c r="D176" s="17" t="d">
        <x:v>2026-08-07T00:00:00.000Z</x:v>
      </x:c>
      <x:c r="E176" s="18" t="str">
        <x:v>Seneca</x:v>
      </x:c>
      <x:c r="F176" s="13" t="str">
        <x:v>Old Stage Road TIF District</x:v>
      </x:c>
      <x:c r="G176" s="15" t="d">
        <x:v>2003-12-16T00:00:00.000Z</x:v>
      </x:c>
      <x:c r="H176" s="19" t="n">
        <x:v>23</x:v>
      </x:c>
      <x:c r="I176" s="19" t="n">
        <x:v>35</x:v>
      </x:c>
      <x:c r="J176" s="19" t="n">
        <x:v>12</x:v>
      </x:c>
      <x:c r="K176" s="19" t="str">
        <x:v>c(311)</x:v>
      </x:c>
      <x:c r="L176" s="12" t="str">
        <x:v>Fiscal year 2025</x:v>
      </x:c>
      <x:c r="M176" s="23" t="n">
        <x:v>583669</x:v>
      </x:c>
      <x:c r="N176" s="22" t="n">
        <x:f>IF(ISNUMBER(M176),M176*J176,"")</x:f>
        <x:v>7004028</x:v>
      </x:c>
      <x:c r="O176" s="13" t="str">
        <x:v>Not determinable from extension law / TIF receipts alone</x:v>
      </x:c>
      <x:c r="P176" s="13" t="str"/>
      <x:c r="Q176" s="12" t="str"/>
      <x:c r="R176" s="24" t="e">
        <x:f>HYPERLINK("https://www.ilga.gov/ftp/Public%20Acts/104/104-0756.htm","Signed Public Act")</x:f>
        <x:v>HYPERLINK is not implemented. linkLocation=https://www.ilga.gov/ftp/Public%20Acts/104/104-0756.htm, friendlyName=Signed Public Act</x:v>
      </x:c>
      <x:c r="S176" s="24" t="e">
        <x:f>HYPERLINK("https://legiscan.com/IL/bill/HB1441/2025","Signing history")</x:f>
        <x:v>HYPERLINK is not implemented. linkLocation=https://legiscan.com/IL/bill/HB1441/2025, friendlyName=Signing history</x:v>
      </x:c>
      <x:c r="T176" s="24" t="e">
        <x:f>HYPERLINK("https://files.illinoiscomptroller.gov/LocGovTIF/FY2025/05010032/25TIF05010032Old_Stageroad_1.pdf","TIF annual reporting")</x:f>
        <x:v>HYPERLINK is not implemented. linkLocation=https://files.illinoiscomptroller.gov/LocGovTIF/FY2025/05010032/25TIF05010032Old_Stageroad_1.pdf, friendlyName=TIF annual reporting</x:v>
      </x:c>
      <x:c r="U176" s="24" t="e">
        <x:f>HYPERLINK("https://illinoiscomptroller.gov/constituent-services/local-government/local-government-warehouse/landingpage?code=050%2F100%2F32","Municipal report index")</x:f>
        <x:v>HYPERLINK is not implemented. linkLocation=https://illinoiscomptroller.gov/constituent-services/local-government/local-government-warehouse/landingpage?code=050%2F100%2F32, friendlyName=Municipal report index</x:v>
      </x:c>
      <x:c r="V176" s="24" t="e">
        <x:f>HYPERLINK("https://files.illinoiscomptroller.gov/LocGovTIF/FY2025/05010032/25TIF05010032Old_Stageroad_1.pdf#page=3","Financial source")</x:f>
        <x:v>HYPERLINK is not implemented. linkLocation=https://files.illinoiscomptroller.gov/LocGovTIF/FY2025/05010032/25TIF05010032Old_Stageroad_1.pdf#page=3, friendlyName=Financial source</x:v>
      </x:c>
      <x:c r="W176" s="24" t="str">
        <x:v>Municipal TIF annual report, section 3.1, current-year Property Tax Increment. FY 2025</x:v>
      </x:c>
      <x:c r="X176" s="24" t="e">
        <x:f>HYPERLINK("https://www.ilga.gov/ftp/Public%20Acts/104/104-0756.htm","Name source")</x:f>
        <x:v>HYPERLINK is not implemented. linkLocation=https://www.ilga.gov/ftp/Public%20Acts/104/104-0756.htm, friendlyName=Name source</x:v>
      </x:c>
      <x:c r="Y176" s="1" t="n">
        <x:v>1</x:v>
      </x:c>
      <x:c r="Z176" s="1"/>
      <x:c r="AA176" s="1"/>
    </x:row>
    <x:row r="177" ht="54" customHeight="1">
      <x:c r="A177" s="12" t="n">
        <x:v>170</x:v>
      </x:c>
      <x:c r="B177" s="12" t="str">
        <x:v>HB 1441</x:v>
      </x:c>
      <x:c r="C177" s="12" t="str">
        <x:v>104-0756</x:v>
      </x:c>
      <x:c r="D177" s="17" t="d">
        <x:v>2026-08-07T00:00:00.000Z</x:v>
      </x:c>
      <x:c r="E177" s="18" t="str">
        <x:v>Cicero</x:v>
      </x:c>
      <x:c r="F177" s="13" t="str">
        <x:v>Laramie and 25th Street TIF District No. 2</x:v>
      </x:c>
      <x:c r="G177" s="15" t="d">
        <x:v>2002-07-09T00:00:00.000Z</x:v>
      </x:c>
      <x:c r="H177" s="19" t="n">
        <x:v>23</x:v>
      </x:c>
      <x:c r="I177" s="19" t="n">
        <x:v>35</x:v>
      </x:c>
      <x:c r="J177" s="19" t="n">
        <x:v>12</x:v>
      </x:c>
      <x:c r="K177" s="19" t="str">
        <x:v>c(312)</x:v>
      </x:c>
      <x:c r="L177" s="12" t="str">
        <x:v>Tax year 2024</x:v>
      </x:c>
      <x:c r="M177" s="23" t="n">
        <x:v>1289232.95</x:v>
      </x:c>
      <x:c r="N177" s="22" t="n">
        <x:f>IF(ISNUMBER(M177),M177*J177,"")</x:f>
        <x:v>15470795.399999999</x:v>
      </x:c>
      <x:c r="O177" s="13" t="str">
        <x:v>Not determinable from extension law / TIF receipts alone</x:v>
      </x:c>
      <x:c r="P177" s="13" t="str"/>
      <x:c r="Q177" s="12" t="str"/>
      <x:c r="R177" s="24" t="e">
        <x:f>HYPERLINK("https://www.ilga.gov/ftp/Public%20Acts/104/104-0756.htm","Signed Public Act")</x:f>
        <x:v>HYPERLINK is not implemented. linkLocation=https://www.ilga.gov/ftp/Public%20Acts/104/104-0756.htm, friendlyName=Signed Public Act</x:v>
      </x:c>
      <x:c r="S177" s="24" t="e">
        <x:f>HYPERLINK("https://legiscan.com/IL/bill/HB1441/2025","Signing history")</x:f>
        <x:v>HYPERLINK is not implemented. linkLocation=https://legiscan.com/IL/bill/HB1441/2025, friendlyName=Signing history</x:v>
      </x:c>
      <x:c r="T177" s="24" t="e">
        <x:f>HYPERLINK("https://illinoiscomptroller.gov/constituent-services/local-government/local-government-warehouse/landingpage?code=016%2F115%2F31","TIF annual reporting")</x:f>
        <x:v>HYPERLINK is not implemented. linkLocation=https://illinoiscomptroller.gov/constituent-services/local-government/local-government-warehouse/landingpage?code=016%2F115%2F31, friendlyName=TIF annual reporting</x:v>
      </x:c>
      <x:c r="U177" s="24" t="e">
        <x:f>HYPERLINK("https://illinoiscomptroller.gov/constituent-services/local-government/local-government-warehouse/landingpage?code=016%2F115%2F31","Municipal report index")</x:f>
        <x:v>HYPERLINK is not implemented. linkLocation=https://illinoiscomptroller.gov/constituent-services/local-government/local-government-warehouse/landingpage?code=016%2F115%2F31, friendlyName=Municipal report index</x:v>
      </x:c>
      <x:c r="V177" s="24" t="e">
        <x:f>HYPERLINK("https://news.wttw.com/sites/default/files/article/file-attachments/2024-tif-report.pdf#page=45","Financial source")</x:f>
        <x:v>HYPERLINK is not implemented. linkLocation=https://news.wttw.com/sites/default/files/article/file-attachments/2024-tif-report.pdf#page=45, friendlyName=Financial source</x:v>
      </x:c>
      <x:c r="W177" s="24" t="str">
        <x:v>Cook County Clerk 2024 TIF report; 02-0060-501; Cicero - Laramie / 25th St; PDF page 45</x:v>
      </x:c>
      <x:c r="X177" s="24" t="e">
        <x:f>HYPERLINK("https://www.ilga.gov/ftp/Public%20Acts/104/104-0756.htm","Name source")</x:f>
        <x:v>HYPERLINK is not implemented. linkLocation=https://www.ilga.gov/ftp/Public%20Acts/104/104-0756.htm, friendlyName=Name source</x:v>
      </x:c>
      <x:c r="Y177" s="1" t="n">
        <x:v>1</x:v>
      </x:c>
      <x:c r="Z177" s="1"/>
      <x:c r="AA177" s="1"/>
    </x:row>
    <x:row r="178" ht="54" customHeight="1">
      <x:c r="A178" s="12" t="n">
        <x:v>171</x:v>
      </x:c>
      <x:c r="B178" s="12" t="str">
        <x:v>HB 1441</x:v>
      </x:c>
      <x:c r="C178" s="12" t="str">
        <x:v>104-0756</x:v>
      </x:c>
      <x:c r="D178" s="17" t="d">
        <x:v>2026-08-07T00:00:00.000Z</x:v>
      </x:c>
      <x:c r="E178" s="18" t="str">
        <x:v>Cicero</x:v>
      </x:c>
      <x:c r="F178" s="13" t="str">
        <x:v>54th Avenue TIF District No. 3</x:v>
      </x:c>
      <x:c r="G178" s="15" t="d">
        <x:v>2004-12-14T00:00:00.000Z</x:v>
      </x:c>
      <x:c r="H178" s="19" t="n">
        <x:v>23</x:v>
      </x:c>
      <x:c r="I178" s="19" t="n">
        <x:v>35</x:v>
      </x:c>
      <x:c r="J178" s="19" t="n">
        <x:v>12</x:v>
      </x:c>
      <x:c r="K178" s="19" t="str">
        <x:v>c(313)</x:v>
      </x:c>
      <x:c r="L178" s="12" t="str">
        <x:v>Tax year 2024</x:v>
      </x:c>
      <x:c r="M178" s="23" t="n">
        <x:v>6568757.86</x:v>
      </x:c>
      <x:c r="N178" s="22" t="n">
        <x:f>IF(ISNUMBER(M178),M178*J178,"")</x:f>
        <x:v>78825094.32000001</x:v>
      </x:c>
      <x:c r="O178" s="13" t="str">
        <x:v>Not determinable from extension law / TIF receipts alone</x:v>
      </x:c>
      <x:c r="P178" s="13" t="str"/>
      <x:c r="Q178" s="12" t="str"/>
      <x:c r="R178" s="24" t="e">
        <x:f>HYPERLINK("https://www.ilga.gov/ftp/Public%20Acts/104/104-0756.htm","Signed Public Act")</x:f>
        <x:v>HYPERLINK is not implemented. linkLocation=https://www.ilga.gov/ftp/Public%20Acts/104/104-0756.htm, friendlyName=Signed Public Act</x:v>
      </x:c>
      <x:c r="S178" s="24" t="e">
        <x:f>HYPERLINK("https://legiscan.com/IL/bill/HB1441/2025","Signing history")</x:f>
        <x:v>HYPERLINK is not implemented. linkLocation=https://legiscan.com/IL/bill/HB1441/2025, friendlyName=Signing history</x:v>
      </x:c>
      <x:c r="T178" s="24" t="e">
        <x:f>HYPERLINK("https://illinoiscomptroller.gov/constituent-services/local-government/local-government-warehouse/landingpage?code=016%2F115%2F31","TIF annual reporting")</x:f>
        <x:v>HYPERLINK is not implemented. linkLocation=https://illinoiscomptroller.gov/constituent-services/local-government/local-government-warehouse/landingpage?code=016%2F115%2F31, friendlyName=TIF annual reporting</x:v>
      </x:c>
      <x:c r="U178" s="24" t="e">
        <x:f>HYPERLINK("https://illinoiscomptroller.gov/constituent-services/local-government/local-government-warehouse/landingpage?code=016%2F115%2F31","Municipal report index")</x:f>
        <x:v>HYPERLINK is not implemented. linkLocation=https://illinoiscomptroller.gov/constituent-services/local-government/local-government-warehouse/landingpage?code=016%2F115%2F31, friendlyName=Municipal report index</x:v>
      </x:c>
      <x:c r="V178" s="24" t="e">
        <x:f>HYPERLINK("https://news.wttw.com/sites/default/files/article/file-attachments/2024-tif-report.pdf#page=45","Financial source")</x:f>
        <x:v>HYPERLINK is not implemented. linkLocation=https://news.wttw.com/sites/default/files/article/file-attachments/2024-tif-report.pdf#page=45, friendlyName=Financial source</x:v>
      </x:c>
      <x:c r="W178" s="24" t="str">
        <x:v>Cook County Clerk 2024 TIF report; 02-0060-502; Cicero - 54th Ave; PDF page 45</x:v>
      </x:c>
      <x:c r="X178" s="24" t="e">
        <x:f>HYPERLINK("https://www.ilga.gov/ftp/Public%20Acts/104/104-0756.htm","Name source")</x:f>
        <x:v>HYPERLINK is not implemented. linkLocation=https://www.ilga.gov/ftp/Public%20Acts/104/104-0756.htm, friendlyName=Name source</x:v>
      </x:c>
      <x:c r="Y178" s="1" t="n">
        <x:v>1</x:v>
      </x:c>
      <x:c r="Z178" s="1"/>
      <x:c r="AA178" s="1"/>
    </x:row>
    <x:row r="179" ht="54" customHeight="1">
      <x:c r="A179" s="12" t="n">
        <x:v>172</x:v>
      </x:c>
      <x:c r="B179" s="12" t="str">
        <x:v>HB 1441</x:v>
      </x:c>
      <x:c r="C179" s="12" t="str">
        <x:v>104-0756</x:v>
      </x:c>
      <x:c r="D179" s="17" t="d">
        <x:v>2026-08-07T00:00:00.000Z</x:v>
      </x:c>
      <x:c r="E179" s="18" t="str">
        <x:v>South Holland</x:v>
      </x:c>
      <x:c r="F179" s="13" t="str">
        <x:v>Downtown TIF District</x:v>
      </x:c>
      <x:c r="G179" s="15" t="d">
        <x:v>2003-09-02T00:00:00.000Z</x:v>
      </x:c>
      <x:c r="H179" s="19" t="n">
        <x:v>23</x:v>
      </x:c>
      <x:c r="I179" s="19" t="n">
        <x:v>35</x:v>
      </x:c>
      <x:c r="J179" s="19" t="n">
        <x:v>12</x:v>
      </x:c>
      <x:c r="K179" s="19" t="str">
        <x:v>c(314)</x:v>
      </x:c>
      <x:c r="L179" s="12" t="str">
        <x:v>Tax year 2024</x:v>
      </x:c>
      <x:c r="M179" s="23" t="n">
        <x:v>316711.47</x:v>
      </x:c>
      <x:c r="N179" s="22" t="n">
        <x:f>IF(ISNUMBER(M179),M179*J179,"")</x:f>
        <x:v>3800537.6399999997</x:v>
      </x:c>
      <x:c r="O179" s="13" t="str">
        <x:v>Not determinable from extension law / TIF receipts alone</x:v>
      </x:c>
      <x:c r="P179" s="13" t="str"/>
      <x:c r="Q179" s="12" t="str"/>
      <x:c r="R179" s="24" t="e">
        <x:f>HYPERLINK("https://www.ilga.gov/ftp/Public%20Acts/104/104-0756.htm","Signed Public Act")</x:f>
        <x:v>HYPERLINK is not implemented. linkLocation=https://www.ilga.gov/ftp/Public%20Acts/104/104-0756.htm, friendlyName=Signed Public Act</x:v>
      </x:c>
      <x:c r="S179" s="24" t="e">
        <x:f>HYPERLINK("https://legiscan.com/IL/bill/HB1441/2025","Signing history")</x:f>
        <x:v>HYPERLINK is not implemented. linkLocation=https://legiscan.com/IL/bill/HB1441/2025, friendlyName=Signing history</x:v>
      </x:c>
      <x:c r="T179" s="24" t="e">
        <x:f>HYPERLINK("https://files.illinoiscomptroller.gov/LocGovTIF/FY2025/01654032/25TIF01654032Downtown_TIF_1.pdf","TIF annual reporting")</x:f>
        <x:v>HYPERLINK is not implemented. linkLocation=https://files.illinoiscomptroller.gov/LocGovTIF/FY2025/01654032/25TIF01654032Downtown_TIF_1.pdf, friendlyName=TIF annual reporting</x:v>
      </x:c>
      <x:c r="U179" s="24" t="e">
        <x:f>HYPERLINK("https://illinoiscomptroller.gov/constituent-services/local-government/local-government-warehouse/landingpage?code=016%2F540%2F32","Municipal report index")</x:f>
        <x:v>HYPERLINK is not implemented. linkLocation=https://illinoiscomptroller.gov/constituent-services/local-government/local-government-warehouse/landingpage?code=016%2F540%2F32, friendlyName=Municipal report index</x:v>
      </x:c>
      <x:c r="V179" s="24" t="e">
        <x:f>HYPERLINK("https://news.wttw.com/sites/default/files/article/file-attachments/2024-tif-report.pdf#page=63","Financial source")</x:f>
        <x:v>HYPERLINK is not implemented. linkLocation=https://news.wttw.com/sites/default/files/article/file-attachments/2024-tif-report.pdf#page=63, friendlyName=Financial source</x:v>
      </x:c>
      <x:c r="W179" s="24" t="str">
        <x:v>Cook County Clerk 2024 TIF report; 03-1200-504; South Holland - Downtown; PDF page 63</x:v>
      </x:c>
      <x:c r="X179" s="24" t="e">
        <x:f>HYPERLINK("https://www.ilga.gov/ftp/Public%20Acts/104/104-0756.htm","Name source")</x:f>
        <x:v>HYPERLINK is not implemented. linkLocation=https://www.ilga.gov/ftp/Public%20Acts/104/104-0756.htm, friendlyName=Name source</x:v>
      </x:c>
      <x:c r="Y179" s="1" t="n">
        <x:v>1</x:v>
      </x:c>
      <x:c r="Z179" s="1"/>
      <x:c r="AA179" s="1"/>
    </x:row>
    <x:row r="180" ht="54" customHeight="1">
      <x:c r="A180" s="12" t="n">
        <x:v>173</x:v>
      </x:c>
      <x:c r="B180" s="12" t="str">
        <x:v>HB 1441</x:v>
      </x:c>
      <x:c r="C180" s="12" t="str">
        <x:v>104-0756</x:v>
      </x:c>
      <x:c r="D180" s="17" t="d">
        <x:v>2026-08-07T00:00:00.000Z</x:v>
      </x:c>
      <x:c r="E180" s="18" t="str">
        <x:v>Lacon</x:v>
      </x:c>
      <x:c r="F180" s="13" t="str">
        <x:v>City of Lacon TIF District I</x:v>
      </x:c>
      <x:c r="G180" s="15" t="d">
        <x:v>1993-12-23T00:00:00.000Z</x:v>
      </x:c>
      <x:c r="H180" s="19" t="n">
        <x:v>35</x:v>
      </x:c>
      <x:c r="I180" s="19" t="n">
        <x:v>47</x:v>
      </x:c>
      <x:c r="J180" s="19" t="n">
        <x:v>12</x:v>
      </x:c>
      <x:c r="K180" s="19" t="str">
        <x:v>f-5(28)</x:v>
      </x:c>
      <x:c r="L180" s="12" t="str">
        <x:v>Fiscal year 2026</x:v>
      </x:c>
      <x:c r="M180" s="23" t="n">
        <x:v>805552</x:v>
      </x:c>
      <x:c r="N180" s="22" t="n">
        <x:f>IF(ISNUMBER(M180),M180*J180,"")</x:f>
        <x:v>9666624</x:v>
      </x:c>
      <x:c r="O180" s="13" t="str">
        <x:v>Not determinable from extension law / TIF receipts alone</x:v>
      </x:c>
      <x:c r="P180" s="13" t="str"/>
      <x:c r="Q180" s="12" t="str"/>
      <x:c r="R180" s="24" t="e">
        <x:f>HYPERLINK("https://www.ilga.gov/ftp/Public%20Acts/104/104-0756.htm","Signed Public Act")</x:f>
        <x:v>HYPERLINK is not implemented. linkLocation=https://www.ilga.gov/ftp/Public%20Acts/104/104-0756.htm, friendlyName=Signed Public Act</x:v>
      </x:c>
      <x:c r="S180" s="24" t="e">
        <x:f>HYPERLINK("https://legiscan.com/IL/bill/HB1441/2025","Signing history")</x:f>
        <x:v>HYPERLINK is not implemented. linkLocation=https://legiscan.com/IL/bill/HB1441/2025, friendlyName=Signing history</x:v>
      </x:c>
      <x:c r="T180" s="24" t="e">
        <x:f>HYPERLINK("https://files.illinoiscomptroller.gov/LocGovTIF/FY2026/05901530/26TIF05901530TIF_I_1.pdf","TIF annual reporting")</x:f>
        <x:v>HYPERLINK is not implemented. linkLocation=https://files.illinoiscomptroller.gov/LocGovTIF/FY2026/05901530/26TIF05901530TIF_I_1.pdf, friendlyName=TIF annual reporting</x:v>
      </x:c>
      <x:c r="U180" s="24" t="e">
        <x:f>HYPERLINK("https://illinoiscomptroller.gov/constituent-services/local-government/local-government-warehouse/landingpage?code=059%2F015%2F30","Municipal report index")</x:f>
        <x:v>HYPERLINK is not implemented. linkLocation=https://illinoiscomptroller.gov/constituent-services/local-government/local-government-warehouse/landingpage?code=059%2F015%2F30, friendlyName=Municipal report index</x:v>
      </x:c>
      <x:c r="V180" s="24" t="e">
        <x:f>HYPERLINK("https://files.illinoiscomptroller.gov/LocGovTIF/FY2026/05901530/26TIF05901530TIF_I_1.pdf#page=3","Financial source")</x:f>
        <x:v>HYPERLINK is not implemented. linkLocation=https://files.illinoiscomptroller.gov/LocGovTIF/FY2026/05901530/26TIF05901530TIF_I_1.pdf#page=3, friendlyName=Financial source</x:v>
      </x:c>
      <x:c r="W180" s="24" t="str">
        <x:v>Municipal TIF annual report, section 3.1, current-year Property Tax Increment. FY 2026</x:v>
      </x:c>
      <x:c r="X180" s="24" t="e">
        <x:f>HYPERLINK("https://www.ilga.gov/ftp/Public%20Acts/104/104-0756.htm","Name source")</x:f>
        <x:v>HYPERLINK is not implemented. linkLocation=https://www.ilga.gov/ftp/Public%20Acts/104/104-0756.htm, friendlyName=Name source</x:v>
      </x:c>
      <x:c r="Y180" s="1" t="n">
        <x:v>1</x:v>
      </x:c>
      <x:c r="Z180" s="1"/>
      <x:c r="AA180" s="1"/>
    </x:row>
    <x:row r="181">
      <x:c r="A181" s="1"/>
      <x:c r="B181" s="1"/>
      <x:c r="C181" s="1"/>
      <x:c r="D181" s="1"/>
      <x:c r="E181" s="1"/>
      <x:c r="F181" s="1"/>
      <x:c r="G181" s="1"/>
      <x:c r="H181" s="1"/>
      <x:c r="I181" s="1"/>
      <x:c r="J181" s="1"/>
      <x:c r="K181" s="1"/>
      <x:c r="L181" s="1"/>
      <x:c r="M181" s="1"/>
      <x:c r="N181" s="1"/>
      <x:c r="O181" s="1"/>
      <x:c r="P181" s="1"/>
      <x:c r="Q181" s="1"/>
      <x:c r="R181" s="1"/>
      <x:c r="S181" s="1"/>
      <x:c r="T181" s="1"/>
      <x:c r="U181" s="1"/>
      <x:c r="V181" s="1"/>
      <x:c r="W181" s="1"/>
      <x:c r="X181" s="1"/>
      <x:c r="Y181" s="1"/>
      <x:c r="Z181" s="1"/>
      <x:c r="AA181" s="1"/>
    </x:row>
    <x:row r="182">
      <x:c r="A182" s="1"/>
      <x:c r="B182" s="1"/>
      <x:c r="C182" s="1"/>
      <x:c r="D182" s="1"/>
      <x:c r="E182" s="1"/>
      <x:c r="F182" s="1"/>
      <x:c r="G182" s="1"/>
      <x:c r="H182" s="1"/>
      <x:c r="I182" s="1"/>
      <x:c r="J182" s="1"/>
      <x:c r="K182" s="1"/>
      <x:c r="L182" s="1"/>
      <x:c r="M182" s="1"/>
      <x:c r="N182" s="1"/>
      <x:c r="O182" s="1"/>
      <x:c r="P182" s="1"/>
      <x:c r="Q182" s="1"/>
      <x:c r="R182" s="1"/>
      <x:c r="S182" s="1"/>
      <x:c r="T182" s="1"/>
      <x:c r="U182" s="1"/>
      <x:c r="V182" s="1"/>
      <x:c r="W182" s="1"/>
      <x:c r="X182" s="1"/>
      <x:c r="Y182" s="1"/>
      <x:c r="Z182" s="1"/>
      <x:c r="AA182" s="1"/>
    </x:row>
    <x:row r="183">
      <x:c r="A183" s="1"/>
      <x:c r="B183" s="1"/>
      <x:c r="C183" s="1"/>
      <x:c r="D183" s="1"/>
      <x:c r="E183" s="1"/>
      <x:c r="F183" s="1"/>
      <x:c r="G183" s="1"/>
      <x:c r="H183" s="1"/>
      <x:c r="I183" s="1"/>
      <x:c r="J183" s="1"/>
      <x:c r="K183" s="1"/>
      <x:c r="L183" s="1"/>
      <x:c r="M183" s="1"/>
      <x:c r="N183" s="1"/>
      <x:c r="O183" s="1"/>
      <x:c r="P183" s="1"/>
      <x:c r="Q183" s="1"/>
      <x:c r="R183" s="1"/>
      <x:c r="S183" s="1"/>
      <x:c r="T183" s="1"/>
      <x:c r="U183" s="1"/>
      <x:c r="V183" s="1"/>
      <x:c r="W183" s="1"/>
      <x:c r="X183" s="1"/>
      <x:c r="Y183" s="1"/>
      <x:c r="Z183" s="1"/>
      <x:c r="AA183" s="1"/>
    </x:row>
    <x:row r="184">
      <x:c r="A184" s="1"/>
      <x:c r="B184" s="1"/>
      <x:c r="C184" s="1"/>
      <x:c r="D184" s="1"/>
      <x:c r="E184" s="1"/>
      <x:c r="F184" s="1"/>
      <x:c r="G184" s="1"/>
      <x:c r="H184" s="1"/>
      <x:c r="I184" s="1"/>
      <x:c r="J184" s="1"/>
      <x:c r="K184" s="1"/>
      <x:c r="L184" s="1"/>
      <x:c r="M184" s="1"/>
      <x:c r="N184" s="1"/>
      <x:c r="O184" s="1"/>
      <x:c r="P184" s="1"/>
      <x:c r="Q184" s="1"/>
      <x:c r="R184" s="1"/>
      <x:c r="S184" s="1"/>
      <x:c r="T184" s="1"/>
      <x:c r="U184" s="1"/>
      <x:c r="V184" s="1"/>
      <x:c r="W184" s="1"/>
      <x:c r="X184" s="1"/>
      <x:c r="Y184" s="1"/>
      <x:c r="Z184" s="1"/>
      <x:c r="AA184" s="1"/>
    </x:row>
    <x:row r="185">
      <x:c r="A185" s="1"/>
      <x:c r="B185" s="1"/>
      <x:c r="C185" s="1"/>
      <x:c r="D185" s="1"/>
      <x:c r="E185" s="1"/>
      <x:c r="F185" s="1"/>
      <x:c r="G185" s="1"/>
      <x:c r="H185" s="1"/>
      <x:c r="I185" s="1"/>
      <x:c r="J185" s="1"/>
      <x:c r="K185" s="1"/>
      <x:c r="L185" s="1"/>
      <x:c r="M185" s="1"/>
      <x:c r="N185" s="1"/>
      <x:c r="O185" s="1"/>
      <x:c r="P185" s="1"/>
      <x:c r="Q185" s="1"/>
      <x:c r="R185" s="1"/>
      <x:c r="S185" s="1"/>
      <x:c r="T185" s="1"/>
      <x:c r="U185" s="1"/>
      <x:c r="V185" s="1"/>
      <x:c r="W185" s="1"/>
      <x:c r="X185" s="1"/>
      <x:c r="Y185" s="1"/>
      <x:c r="Z185" s="1"/>
      <x:c r="AA185" s="1"/>
    </x:row>
    <x:row r="186">
      <x:c r="A186" s="1"/>
      <x:c r="B186" s="1"/>
      <x:c r="C186" s="1"/>
      <x:c r="D186" s="1"/>
      <x:c r="E186" s="1"/>
      <x:c r="F186" s="1"/>
      <x:c r="G186" s="1"/>
      <x:c r="H186" s="1"/>
      <x:c r="I186" s="1"/>
      <x:c r="J186" s="1"/>
      <x:c r="K186" s="1"/>
      <x:c r="L186" s="1"/>
      <x:c r="M186" s="1"/>
      <x:c r="N186" s="1"/>
      <x:c r="O186" s="1"/>
      <x:c r="P186" s="1"/>
      <x:c r="Q186" s="1"/>
      <x:c r="R186" s="1"/>
      <x:c r="S186" s="1"/>
      <x:c r="T186" s="1"/>
      <x:c r="U186" s="1"/>
      <x:c r="V186" s="1"/>
      <x:c r="W186" s="1"/>
      <x:c r="X186" s="1"/>
      <x:c r="Y186" s="1"/>
      <x:c r="Z186" s="1"/>
      <x:c r="AA186" s="1"/>
    </x:row>
    <x:row r="187">
      <x:c r="A187" s="1"/>
      <x:c r="B187" s="1"/>
      <x:c r="C187" s="1"/>
      <x:c r="D187" s="1"/>
      <x:c r="E187" s="1"/>
      <x:c r="F187" s="1"/>
      <x:c r="G187" s="1"/>
      <x:c r="H187" s="1"/>
      <x:c r="I187" s="1"/>
      <x:c r="J187" s="1"/>
      <x:c r="K187" s="1"/>
      <x:c r="L187" s="1"/>
      <x:c r="M187" s="1"/>
      <x:c r="N187" s="1"/>
      <x:c r="O187" s="1"/>
      <x:c r="P187" s="1"/>
      <x:c r="Q187" s="1"/>
      <x:c r="R187" s="1"/>
      <x:c r="S187" s="1"/>
      <x:c r="T187" s="1"/>
      <x:c r="U187" s="1"/>
      <x:c r="V187" s="1"/>
      <x:c r="W187" s="1"/>
      <x:c r="X187" s="1"/>
      <x:c r="Y187" s="1"/>
      <x:c r="Z187" s="1"/>
      <x:c r="AA187" s="1"/>
    </x:row>
    <x:row r="188">
      <x:c r="A188" s="1"/>
      <x:c r="B188" s="1"/>
      <x:c r="C188" s="1"/>
      <x:c r="D188" s="1"/>
      <x:c r="E188" s="1"/>
      <x:c r="F188" s="1"/>
      <x:c r="G188" s="1"/>
      <x:c r="H188" s="1"/>
      <x:c r="I188" s="1"/>
      <x:c r="J188" s="1"/>
      <x:c r="K188" s="1"/>
      <x:c r="L188" s="1"/>
      <x:c r="M188" s="1"/>
      <x:c r="N188" s="1"/>
      <x:c r="O188" s="1"/>
      <x:c r="P188" s="1"/>
      <x:c r="Q188" s="1"/>
      <x:c r="R188" s="1"/>
      <x:c r="S188" s="1"/>
      <x:c r="T188" s="1"/>
      <x:c r="U188" s="1"/>
      <x:c r="V188" s="1"/>
      <x:c r="W188" s="1"/>
      <x:c r="X188" s="1"/>
      <x:c r="Y188" s="1"/>
      <x:c r="Z188" s="1"/>
      <x:c r="AA188" s="1"/>
    </x:row>
    <x:row r="189">
      <x:c r="A189" s="1"/>
      <x:c r="B189" s="1"/>
      <x:c r="C189" s="1"/>
      <x:c r="D189" s="1"/>
      <x:c r="E189" s="1"/>
      <x:c r="F189" s="1"/>
      <x:c r="G189" s="1"/>
      <x:c r="H189" s="1"/>
      <x:c r="I189" s="1"/>
      <x:c r="J189" s="1"/>
      <x:c r="K189" s="1"/>
      <x:c r="L189" s="1"/>
      <x:c r="M189" s="1"/>
      <x:c r="N189" s="1"/>
      <x:c r="O189" s="1"/>
      <x:c r="P189" s="1"/>
      <x:c r="Q189" s="1"/>
      <x:c r="R189" s="1"/>
      <x:c r="S189" s="1"/>
      <x:c r="T189" s="1"/>
      <x:c r="U189" s="1"/>
      <x:c r="V189" s="1"/>
      <x:c r="W189" s="1"/>
      <x:c r="X189" s="1"/>
      <x:c r="Y189" s="1"/>
      <x:c r="Z189" s="1"/>
      <x:c r="AA189" s="1"/>
    </x:row>
    <x:row r="190">
      <x:c r="A190" s="1"/>
      <x:c r="B190" s="1"/>
      <x:c r="C190" s="1"/>
      <x:c r="D190" s="1"/>
      <x:c r="E190" s="1"/>
      <x:c r="F190" s="1"/>
      <x:c r="G190" s="1"/>
      <x:c r="H190" s="1"/>
      <x:c r="I190" s="1"/>
      <x:c r="J190" s="1"/>
      <x:c r="K190" s="1"/>
      <x:c r="L190" s="1"/>
      <x:c r="M190" s="1"/>
      <x:c r="N190" s="1"/>
      <x:c r="O190" s="1"/>
      <x:c r="P190" s="1"/>
      <x:c r="Q190" s="1"/>
      <x:c r="R190" s="1"/>
      <x:c r="S190" s="1"/>
      <x:c r="T190" s="1"/>
      <x:c r="U190" s="1"/>
      <x:c r="V190" s="1"/>
      <x:c r="W190" s="1"/>
      <x:c r="X190" s="1"/>
      <x:c r="Y190" s="1"/>
      <x:c r="Z190" s="1"/>
      <x:c r="AA190" s="1"/>
    </x:row>
  </x:sheetData>
  <x:mergeCells>
    <x:mergeCell ref="A1:O1"/>
    <x:mergeCell ref="A2:O2"/>
    <x:mergeCell ref="A3:O3"/>
  </x:mergeCells>
  <x:pageMargins left="0.7" right="0.7" top="0.75" bottom="0.75" header="0.3" footer="0.3"/>
  <x:tableParts count="1">
    <x:tablePart xmlns:r="http://schemas.openxmlformats.org/officeDocument/2006/relationships" r:id="R93dad1c364844d13"/>
  </x:tableParts>
</x:worksheet>
</file>